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s\dragasd\JN 2021\NMV 21\P+R Zlato polje\popis p+r zlato polje\"/>
    </mc:Choice>
  </mc:AlternateContent>
  <bookViews>
    <workbookView xWindow="2025" yWindow="3045" windowWidth="32475" windowHeight="17175"/>
  </bookViews>
  <sheets>
    <sheet name="SKUPNA_REKAPITULACIJA" sheetId="33" r:id="rId1"/>
    <sheet name="ARHITEKTURA_rek." sheetId="1" r:id="rId2"/>
    <sheet name="ARHITEKTURA_gradbena_dela" sheetId="2" r:id="rId3"/>
    <sheet name="ARHITEKTURA_obrtniška_dela" sheetId="3" r:id="rId4"/>
    <sheet name="ZUNANJA_UREDITEV_rek." sheetId="6" r:id="rId5"/>
    <sheet name="ZUNANJA UREDITEV" sheetId="7" r:id="rId6"/>
    <sheet name="PADAVINSKA_rek." sheetId="19" r:id="rId7"/>
    <sheet name="Padavinska" sheetId="20" r:id="rId8"/>
    <sheet name="SANITARNA_rek." sheetId="34" r:id="rId9"/>
    <sheet name="SANITARNA" sheetId="35" r:id="rId10"/>
    <sheet name="STROJNE_rek." sheetId="36" r:id="rId11"/>
    <sheet name="OGREVANJE" sheetId="37" r:id="rId12"/>
    <sheet name="VODOVODNA_INSTALACIJA" sheetId="38" r:id="rId13"/>
    <sheet name="PREZRAČEVANJE" sheetId="39" r:id="rId14"/>
    <sheet name="VODOVOD_rek." sheetId="40" r:id="rId15"/>
    <sheet name="VODOVOD" sheetId="41" r:id="rId16"/>
    <sheet name="ELEKTRO_rek." sheetId="21" r:id="rId17"/>
    <sheet name="ELEKTRO_navodila" sheetId="22" r:id="rId18"/>
    <sheet name="ELEKTRO_GD_NN" sheetId="23" r:id="rId19"/>
    <sheet name="ELEKTRO_EM_NN" sheetId="42" r:id="rId20"/>
    <sheet name="ELEKTRO_GD_CR" sheetId="25" r:id="rId21"/>
    <sheet name="ELEKTRO_P_Sv" sheetId="26" r:id="rId22"/>
    <sheet name="ELEKTRO_P_Vod" sheetId="27" r:id="rId23"/>
    <sheet name="ELEKTRO_P_ES" sheetId="28" r:id="rId24"/>
    <sheet name="ELEKTRO_P_Video" sheetId="29" r:id="rId25"/>
    <sheet name="ELEKTR_P_Stre" sheetId="30" r:id="rId26"/>
    <sheet name="ELEKTRO_P_PPzEV" sheetId="43" r:id="rId27"/>
    <sheet name="ELEKTRO_Ostalo" sheetId="31" r:id="rId28"/>
    <sheet name="ZAŠČITA_elektro_vodov" sheetId="32" r:id="rId29"/>
  </sheets>
  <externalReferences>
    <externalReference r:id="rId30"/>
    <externalReference r:id="rId31"/>
    <externalReference r:id="rId32"/>
    <externalReference r:id="rId33"/>
  </externalReferences>
  <definedNames>
    <definedName name="AKUMULACIJA" localSheetId="25">#REF!</definedName>
    <definedName name="AKUMULACIJA" localSheetId="20">#REF!</definedName>
    <definedName name="AKUMULACIJA" localSheetId="18">#REF!</definedName>
    <definedName name="AKUMULACIJA" localSheetId="17">#REF!</definedName>
    <definedName name="AKUMULACIJA" localSheetId="27">#REF!</definedName>
    <definedName name="AKUMULACIJA" localSheetId="23">#REF!</definedName>
    <definedName name="AKUMULACIJA" localSheetId="21">#REF!</definedName>
    <definedName name="AKUMULACIJA" localSheetId="24">#REF!</definedName>
    <definedName name="AKUMULACIJA" localSheetId="22">#REF!</definedName>
    <definedName name="AKUMULACIJA">#REF!</definedName>
    <definedName name="Excel_BuiltIn_Print_Area_2_1_1">"$#REF!.$A$1:$F$123"</definedName>
    <definedName name="Excel_BuiltIn_Print_Area_3">"$#REF!.$A$1:$F$123"</definedName>
    <definedName name="Excel_BuiltIn_Print_Area_4">"$#REF!.$A$1:$F$123"</definedName>
    <definedName name="Excel_BuiltIn_Print_Area_6">"$#REF!.$A$1:$C$31"</definedName>
    <definedName name="Excel_BuiltIn_Print_Titles_2_1">'ZUNANJA UREDITEV'!$A$1:$IU$1</definedName>
    <definedName name="Excel_BuiltIn_Print_Titles_2_1_1">'ZUNANJA UREDITEV'!$A$1:$IT$1</definedName>
    <definedName name="Excel_BuiltIn_Print_Titles_3">"$#REF!.$A$1:$IV$1"</definedName>
    <definedName name="Excel_BuiltIn_Print_Titles_4">"$#REF!.$A$1:$IV$1"</definedName>
    <definedName name="Excel_BuiltIn_Print_Titles_6">"$#REF!.$A$1:$IV$1"</definedName>
    <definedName name="FAK_MATERIAL" localSheetId="25">#REF!</definedName>
    <definedName name="FAK_MATERIAL" localSheetId="20">#REF!</definedName>
    <definedName name="FAK_MATERIAL" localSheetId="18">#REF!</definedName>
    <definedName name="FAK_MATERIAL" localSheetId="17">#REF!</definedName>
    <definedName name="FAK_MATERIAL" localSheetId="27">#REF!</definedName>
    <definedName name="FAK_MATERIAL" localSheetId="23">#REF!</definedName>
    <definedName name="FAK_MATERIAL" localSheetId="21">#REF!</definedName>
    <definedName name="FAK_MATERIAL" localSheetId="24">#REF!</definedName>
    <definedName name="FAK_MATERIAL" localSheetId="22">#REF!</definedName>
    <definedName name="FAK_MATERIAL">#REF!</definedName>
    <definedName name="FAKTOR_NA_URE" localSheetId="25">#REF!</definedName>
    <definedName name="FAKTOR_NA_URE" localSheetId="20">#REF!</definedName>
    <definedName name="FAKTOR_NA_URE" localSheetId="18">#REF!</definedName>
    <definedName name="FAKTOR_NA_URE" localSheetId="17">#REF!</definedName>
    <definedName name="FAKTOR_NA_URE" localSheetId="27">#REF!</definedName>
    <definedName name="FAKTOR_NA_URE" localSheetId="23">#REF!</definedName>
    <definedName name="FAKTOR_NA_URE" localSheetId="21">#REF!</definedName>
    <definedName name="FAKTOR_NA_URE" localSheetId="24">#REF!</definedName>
    <definedName name="FAKTOR_NA_URE" localSheetId="22">#REF!</definedName>
    <definedName name="FAKTOR_NA_URE">#REF!</definedName>
    <definedName name="indeks" localSheetId="25">[1]Rekapitulacija!$D$47</definedName>
    <definedName name="indeks" localSheetId="20">ELEKTRO_rek.!#REF!</definedName>
    <definedName name="indeks" localSheetId="18">ELEKTRO_rek.!#REF!</definedName>
    <definedName name="indeks" localSheetId="17">ELEKTRO_navodila!#REF!</definedName>
    <definedName name="indeks" localSheetId="27">ELEKTRO_rek.!#REF!</definedName>
    <definedName name="indeks" localSheetId="23">[1]Rekapitulacija!$D$47</definedName>
    <definedName name="indeks" localSheetId="21">[1]Rekapitulacija!$D$47</definedName>
    <definedName name="indeks" localSheetId="24">[1]Rekapitulacija!$D$47</definedName>
    <definedName name="indeks" localSheetId="22">[1]Rekapitulacija!$D$47</definedName>
    <definedName name="indeks">#REF!</definedName>
    <definedName name="KALK_URA" localSheetId="25">#REF!</definedName>
    <definedName name="KALK_URA" localSheetId="20">#REF!</definedName>
    <definedName name="KALK_URA" localSheetId="18">#REF!</definedName>
    <definedName name="KALK_URA" localSheetId="17">#REF!</definedName>
    <definedName name="KALK_URA" localSheetId="27">#REF!</definedName>
    <definedName name="KALK_URA" localSheetId="23">#REF!</definedName>
    <definedName name="KALK_URA" localSheetId="21">#REF!</definedName>
    <definedName name="KALK_URA" localSheetId="24">#REF!</definedName>
    <definedName name="KALK_URA" localSheetId="22">#REF!</definedName>
    <definedName name="KALK_URA">#REF!</definedName>
    <definedName name="_xlnm.Print_Area" localSheetId="1">ARHITEKTURA_rek.!$A$1:$F$128</definedName>
    <definedName name="_xlnm.Print_Area" localSheetId="25">ELEKTR_P_Stre!$A$1:$G$46</definedName>
    <definedName name="_xlnm.Print_Area" localSheetId="20">ELEKTRO_GD_CR!$A$1:$G$117</definedName>
    <definedName name="_xlnm.Print_Area" localSheetId="18">ELEKTRO_GD_NN!$A$1:$G$84</definedName>
    <definedName name="_xlnm.Print_Area" localSheetId="17">ELEKTRO_navodila!$A$1:$B$63</definedName>
    <definedName name="_xlnm.Print_Area" localSheetId="27">ELEKTRO_Ostalo!$A$1:$G$19</definedName>
    <definedName name="_xlnm.Print_Area" localSheetId="23">ELEKTRO_P_ES!$A$1:$G$71</definedName>
    <definedName name="_xlnm.Print_Area" localSheetId="21">ELEKTRO_P_Sv!$A$1:$G$20</definedName>
    <definedName name="_xlnm.Print_Area" localSheetId="24">ELEKTRO_P_Video!$A$1:$G$32</definedName>
    <definedName name="_xlnm.Print_Area" localSheetId="22">ELEKTRO_P_Vod!$A$1:$G$66</definedName>
    <definedName name="_xlnm.Print_Area" localSheetId="16">ELEKTRO_rek.!$A$1:$D$33</definedName>
    <definedName name="_xlnm.Print_Area" localSheetId="7">Padavinska!$A$1:$F$205</definedName>
    <definedName name="_xlnm.Print_Area" localSheetId="6">PADAVINSKA_rek.!$A$1:$C$21</definedName>
    <definedName name="_xlnm.Print_Area" localSheetId="5">'ZUNANJA UREDITEV'!$A$1:$F$861</definedName>
    <definedName name="_xlnm.Print_Area" localSheetId="4">ZUNANJA_UREDITEV_rek.!$A$1:$C$15</definedName>
    <definedName name="PROC_MATERIAL" localSheetId="25">#REF!</definedName>
    <definedName name="PROC_MATERIAL" localSheetId="20">#REF!</definedName>
    <definedName name="PROC_MATERIAL" localSheetId="18">#REF!</definedName>
    <definedName name="PROC_MATERIAL" localSheetId="17">#REF!</definedName>
    <definedName name="PROC_MATERIAL" localSheetId="27">#REF!</definedName>
    <definedName name="PROC_MATERIAL" localSheetId="23">#REF!</definedName>
    <definedName name="PROC_MATERIAL" localSheetId="21">#REF!</definedName>
    <definedName name="PROC_MATERIAL" localSheetId="24">#REF!</definedName>
    <definedName name="PROC_MATERIAL" localSheetId="22">#REF!</definedName>
    <definedName name="PROC_MATERIAL">#REF!</definedName>
    <definedName name="SKUPAJ_AKUMULACIJA" localSheetId="25">#REF!</definedName>
    <definedName name="SKUPAJ_AKUMULACIJA" localSheetId="20">#REF!</definedName>
    <definedName name="SKUPAJ_AKUMULACIJA" localSheetId="18">#REF!</definedName>
    <definedName name="SKUPAJ_AKUMULACIJA" localSheetId="17">#REF!</definedName>
    <definedName name="SKUPAJ_AKUMULACIJA" localSheetId="27">#REF!</definedName>
    <definedName name="SKUPAJ_AKUMULACIJA" localSheetId="23">#REF!</definedName>
    <definedName name="SKUPAJ_AKUMULACIJA" localSheetId="21">#REF!</definedName>
    <definedName name="SKUPAJ_AKUMULACIJA" localSheetId="24">#REF!</definedName>
    <definedName name="SKUPAJ_AKUMULACIJA" localSheetId="22">#REF!</definedName>
    <definedName name="SKUPAJ_AKUMULACIJA">#REF!</definedName>
    <definedName name="SKUPAJ_BRUTO_MATERIAL" localSheetId="25">#REF!</definedName>
    <definedName name="SKUPAJ_BRUTO_MATERIAL" localSheetId="20">#REF!</definedName>
    <definedName name="SKUPAJ_BRUTO_MATERIAL" localSheetId="18">#REF!</definedName>
    <definedName name="SKUPAJ_BRUTO_MATERIAL" localSheetId="17">#REF!</definedName>
    <definedName name="SKUPAJ_BRUTO_MATERIAL" localSheetId="27">#REF!</definedName>
    <definedName name="SKUPAJ_BRUTO_MATERIAL" localSheetId="23">#REF!</definedName>
    <definedName name="SKUPAJ_BRUTO_MATERIAL" localSheetId="21">#REF!</definedName>
    <definedName name="SKUPAJ_BRUTO_MATERIAL" localSheetId="24">#REF!</definedName>
    <definedName name="SKUPAJ_BRUTO_MATERIAL" localSheetId="22">#REF!</definedName>
    <definedName name="SKUPAJ_BRUTO_MATERIAL">#REF!</definedName>
    <definedName name="SKUPAJ_DELO" localSheetId="25">#REF!</definedName>
    <definedName name="SKUPAJ_DELO" localSheetId="20">#REF!</definedName>
    <definedName name="SKUPAJ_DELO" localSheetId="18">#REF!</definedName>
    <definedName name="SKUPAJ_DELO" localSheetId="17">#REF!</definedName>
    <definedName name="SKUPAJ_DELO" localSheetId="27">#REF!</definedName>
    <definedName name="SKUPAJ_DELO" localSheetId="23">#REF!</definedName>
    <definedName name="SKUPAJ_DELO" localSheetId="21">#REF!</definedName>
    <definedName name="SKUPAJ_DELO" localSheetId="24">#REF!</definedName>
    <definedName name="SKUPAJ_DELO" localSheetId="22">#REF!</definedName>
    <definedName name="SKUPAJ_DELO">#REF!</definedName>
    <definedName name="SKUPAJ_DODATEK_NA_MATERIAL" localSheetId="25">#REF!</definedName>
    <definedName name="SKUPAJ_DODATEK_NA_MATERIAL" localSheetId="20">#REF!</definedName>
    <definedName name="SKUPAJ_DODATEK_NA_MATERIAL" localSheetId="18">#REF!</definedName>
    <definedName name="SKUPAJ_DODATEK_NA_MATERIAL" localSheetId="17">#REF!</definedName>
    <definedName name="SKUPAJ_DODATEK_NA_MATERIAL" localSheetId="27">#REF!</definedName>
    <definedName name="SKUPAJ_DODATEK_NA_MATERIAL" localSheetId="23">#REF!</definedName>
    <definedName name="SKUPAJ_DODATEK_NA_MATERIAL" localSheetId="21">#REF!</definedName>
    <definedName name="SKUPAJ_DODATEK_NA_MATERIAL" localSheetId="24">#REF!</definedName>
    <definedName name="SKUPAJ_DODATEK_NA_MATERIAL" localSheetId="22">#REF!</definedName>
    <definedName name="SKUPAJ_DODATEK_NA_MATERIAL">#REF!</definedName>
    <definedName name="SKUPAJ_NETO_MATERIAL" localSheetId="25">#REF!</definedName>
    <definedName name="SKUPAJ_NETO_MATERIAL" localSheetId="20">#REF!</definedName>
    <definedName name="SKUPAJ_NETO_MATERIAL" localSheetId="18">#REF!</definedName>
    <definedName name="SKUPAJ_NETO_MATERIAL" localSheetId="17">#REF!</definedName>
    <definedName name="SKUPAJ_NETO_MATERIAL" localSheetId="27">#REF!</definedName>
    <definedName name="SKUPAJ_NETO_MATERIAL" localSheetId="23">#REF!</definedName>
    <definedName name="SKUPAJ_NETO_MATERIAL" localSheetId="21">#REF!</definedName>
    <definedName name="SKUPAJ_NETO_MATERIAL" localSheetId="24">#REF!</definedName>
    <definedName name="SKUPAJ_NETO_MATERIAL" localSheetId="22">#REF!</definedName>
    <definedName name="SKUPAJ_NETO_MATERIAL">#REF!</definedName>
    <definedName name="SKUPAJ_PREDRAČUN" localSheetId="25">#REF!</definedName>
    <definedName name="SKUPAJ_PREDRAČUN" localSheetId="20">#REF!</definedName>
    <definedName name="SKUPAJ_PREDRAČUN" localSheetId="18">#REF!</definedName>
    <definedName name="SKUPAJ_PREDRAČUN" localSheetId="17">#REF!</definedName>
    <definedName name="SKUPAJ_PREDRAČUN" localSheetId="27">#REF!</definedName>
    <definedName name="SKUPAJ_PREDRAČUN" localSheetId="23">#REF!</definedName>
    <definedName name="SKUPAJ_PREDRAČUN" localSheetId="21">#REF!</definedName>
    <definedName name="SKUPAJ_PREDRAČUN" localSheetId="24">#REF!</definedName>
    <definedName name="SKUPAJ_PREDRAČUN" localSheetId="22">#REF!</definedName>
    <definedName name="SKUPAJ_PREDRAČUN">#REF!</definedName>
    <definedName name="SKUPAJ_ŠT_UR" localSheetId="25">#REF!</definedName>
    <definedName name="SKUPAJ_ŠT_UR" localSheetId="20">#REF!</definedName>
    <definedName name="SKUPAJ_ŠT_UR" localSheetId="18">#REF!</definedName>
    <definedName name="SKUPAJ_ŠT_UR" localSheetId="17">#REF!</definedName>
    <definedName name="SKUPAJ_ŠT_UR" localSheetId="27">#REF!</definedName>
    <definedName name="SKUPAJ_ŠT_UR" localSheetId="23">#REF!</definedName>
    <definedName name="SKUPAJ_ŠT_UR" localSheetId="21">#REF!</definedName>
    <definedName name="SKUPAJ_ŠT_UR" localSheetId="24">#REF!</definedName>
    <definedName name="SKUPAJ_ŠT_UR" localSheetId="22">#REF!</definedName>
    <definedName name="SKUPAJ_ŠT_UR">#REF!</definedName>
    <definedName name="_xlnm.Print_Titles" localSheetId="25">ELEKTR_P_Stre!$3:$4</definedName>
    <definedName name="_xlnm.Print_Titles" localSheetId="20">ELEKTRO_GD_CR!$3:$4</definedName>
    <definedName name="_xlnm.Print_Titles" localSheetId="18">ELEKTRO_GD_NN!$3:$4</definedName>
    <definedName name="_xlnm.Print_Titles" localSheetId="27">ELEKTRO_Ostalo!$3:$4</definedName>
    <definedName name="_xlnm.Print_Titles" localSheetId="23">ELEKTRO_P_ES!$3:$4</definedName>
    <definedName name="_xlnm.Print_Titles" localSheetId="21">ELEKTRO_P_Sv!$4:$5</definedName>
    <definedName name="_xlnm.Print_Titles" localSheetId="24">ELEKTRO_P_Video!$3:$4</definedName>
    <definedName name="_xlnm.Print_Titles" localSheetId="22">ELEKTRO_P_Vod!$3:$4</definedName>
    <definedName name="_xlnm.Print_Titles" localSheetId="7">Padavinska!$1:$1</definedName>
    <definedName name="_xlnm.Print_Titles" localSheetId="6">PADAVINSKA_rek.!$1:$1</definedName>
    <definedName name="_xlnm.Print_Titles" localSheetId="5">'ZUNANJA UREDITEV'!$1:$1</definedName>
    <definedName name="_xlnm.Print_Titles" localSheetId="4">ZUNANJA_UREDITEV_rek.!$1:$1</definedName>
    <definedName name="vv">[2]Rekapitulacija!$D$40</definedName>
  </definedNames>
  <calcPr calcId="162913"/>
</workbook>
</file>

<file path=xl/calcChain.xml><?xml version="1.0" encoding="utf-8"?>
<calcChain xmlns="http://schemas.openxmlformats.org/spreadsheetml/2006/main">
  <c r="F6" i="32" l="1"/>
  <c r="F19" i="32"/>
  <c r="F21" i="32"/>
  <c r="F23" i="32"/>
  <c r="F25" i="32"/>
  <c r="F27" i="32"/>
  <c r="F17" i="32"/>
  <c r="F8" i="32"/>
  <c r="F10" i="32"/>
  <c r="F12" i="32"/>
  <c r="G7" i="31"/>
  <c r="G9" i="31"/>
  <c r="G11" i="31"/>
  <c r="G13" i="31"/>
  <c r="G15" i="31"/>
  <c r="G17" i="31"/>
  <c r="G5" i="31"/>
  <c r="G10" i="43"/>
  <c r="G11" i="43"/>
  <c r="G5" i="43"/>
  <c r="G8" i="30"/>
  <c r="G10" i="30"/>
  <c r="G12" i="30"/>
  <c r="G15" i="30"/>
  <c r="G17" i="30"/>
  <c r="G19" i="30"/>
  <c r="G21" i="30"/>
  <c r="G23" i="30"/>
  <c r="G25" i="30"/>
  <c r="G27" i="30"/>
  <c r="G30" i="30"/>
  <c r="G32" i="30"/>
  <c r="G34" i="30"/>
  <c r="G36" i="30"/>
  <c r="G38" i="30"/>
  <c r="G40" i="30"/>
  <c r="G42" i="30"/>
  <c r="G44" i="30"/>
  <c r="G6" i="30"/>
  <c r="G7" i="29"/>
  <c r="G9" i="29"/>
  <c r="G11" i="29"/>
  <c r="G13" i="29"/>
  <c r="G15" i="29"/>
  <c r="G17" i="29"/>
  <c r="G19" i="29"/>
  <c r="G21" i="29"/>
  <c r="G23" i="29"/>
  <c r="G26" i="29"/>
  <c r="G30" i="29"/>
  <c r="G5" i="29"/>
  <c r="G69" i="28"/>
  <c r="G41" i="28"/>
  <c r="G7" i="27"/>
  <c r="G8" i="27"/>
  <c r="G9" i="27"/>
  <c r="G10" i="27"/>
  <c r="G11" i="27"/>
  <c r="G14" i="27"/>
  <c r="G16" i="27"/>
  <c r="G17" i="27"/>
  <c r="G20" i="27"/>
  <c r="G21" i="27"/>
  <c r="G23" i="27"/>
  <c r="G25" i="27"/>
  <c r="G27" i="27"/>
  <c r="G29" i="27"/>
  <c r="G32" i="27"/>
  <c r="G35" i="27"/>
  <c r="G36" i="27"/>
  <c r="G37" i="27"/>
  <c r="G40" i="27"/>
  <c r="G41" i="27"/>
  <c r="G42" i="27"/>
  <c r="G43" i="27"/>
  <c r="G45" i="27"/>
  <c r="G48" i="27"/>
  <c r="G50" i="27"/>
  <c r="G52" i="27"/>
  <c r="G54" i="27"/>
  <c r="G56" i="27"/>
  <c r="G58" i="27"/>
  <c r="G60" i="27"/>
  <c r="G62" i="27"/>
  <c r="G64" i="27"/>
  <c r="G6" i="27"/>
  <c r="G8" i="26"/>
  <c r="G9" i="26"/>
  <c r="G11" i="26"/>
  <c r="G13" i="26"/>
  <c r="G14" i="26"/>
  <c r="G15" i="26"/>
  <c r="G17" i="26"/>
  <c r="G18" i="26"/>
  <c r="G6" i="26"/>
  <c r="G115" i="25"/>
  <c r="G113" i="25"/>
  <c r="G97" i="25"/>
  <c r="G84" i="25"/>
  <c r="G69" i="25"/>
  <c r="G56" i="25"/>
  <c r="G8" i="25"/>
  <c r="G10" i="25"/>
  <c r="G13" i="25"/>
  <c r="G15" i="25"/>
  <c r="G17" i="25"/>
  <c r="G19" i="25"/>
  <c r="G21" i="25"/>
  <c r="G23" i="25"/>
  <c r="G25" i="25"/>
  <c r="G27" i="25"/>
  <c r="G30" i="25"/>
  <c r="G32" i="25"/>
  <c r="G34" i="25"/>
  <c r="G36" i="25"/>
  <c r="G38" i="25"/>
  <c r="G40" i="25"/>
  <c r="G42" i="25"/>
  <c r="G44" i="25"/>
  <c r="G6" i="25"/>
  <c r="G7" i="42"/>
  <c r="G9" i="42"/>
  <c r="G11" i="42"/>
  <c r="G13" i="42"/>
  <c r="G15" i="42"/>
  <c r="G17" i="42"/>
  <c r="G19" i="42"/>
  <c r="G21" i="42"/>
  <c r="G24" i="42"/>
  <c r="G25" i="42"/>
  <c r="G26" i="42"/>
  <c r="G27" i="42"/>
  <c r="G29" i="42"/>
  <c r="G30" i="42"/>
  <c r="G33" i="42"/>
  <c r="G34" i="42"/>
  <c r="G35" i="42"/>
  <c r="G39" i="42"/>
  <c r="G40" i="42"/>
  <c r="G41" i="42"/>
  <c r="G43" i="42"/>
  <c r="G44" i="42"/>
  <c r="G46" i="42"/>
  <c r="G47" i="42"/>
  <c r="G49" i="42"/>
  <c r="G5" i="42"/>
  <c r="G82" i="23" l="1"/>
  <c r="G80" i="23"/>
  <c r="G66" i="23"/>
  <c r="G7" i="23"/>
  <c r="G9" i="23"/>
  <c r="G11" i="23"/>
  <c r="G13" i="23"/>
  <c r="G15" i="23"/>
  <c r="G17" i="23"/>
  <c r="G18" i="23"/>
  <c r="G20" i="23"/>
  <c r="G22" i="23"/>
  <c r="G24" i="23"/>
  <c r="G26" i="23"/>
  <c r="G28" i="23"/>
  <c r="G30" i="23"/>
  <c r="G32" i="23"/>
  <c r="G34" i="23"/>
  <c r="G36" i="23"/>
  <c r="G38" i="23"/>
  <c r="G40" i="23"/>
  <c r="G43" i="23"/>
  <c r="G45" i="23"/>
  <c r="G47" i="23"/>
  <c r="G49" i="23"/>
  <c r="G51" i="23"/>
  <c r="G53" i="23"/>
  <c r="G5" i="23"/>
  <c r="F113" i="41"/>
  <c r="F116" i="41"/>
  <c r="F119" i="41"/>
  <c r="F122" i="41"/>
  <c r="F110" i="41"/>
  <c r="F94" i="41"/>
  <c r="F97" i="41"/>
  <c r="F100" i="41"/>
  <c r="F103" i="41"/>
  <c r="F91" i="41"/>
  <c r="F76" i="41"/>
  <c r="F81" i="41"/>
  <c r="F73" i="41"/>
  <c r="F49" i="41"/>
  <c r="F52" i="41"/>
  <c r="F55" i="41"/>
  <c r="F58" i="41"/>
  <c r="F61" i="41"/>
  <c r="F46" i="41"/>
  <c r="F37" i="41"/>
  <c r="F38" i="41"/>
  <c r="F39" i="41"/>
  <c r="F33" i="41"/>
  <c r="F18" i="41"/>
  <c r="F15" i="41"/>
  <c r="F8" i="41"/>
  <c r="F17" i="39"/>
  <c r="F21" i="39"/>
  <c r="F26" i="39"/>
  <c r="F32" i="39"/>
  <c r="F35" i="39"/>
  <c r="F41" i="39"/>
  <c r="F44" i="39"/>
  <c r="F47" i="39"/>
  <c r="F14" i="39"/>
  <c r="F120" i="38"/>
  <c r="F49" i="38"/>
  <c r="F45" i="38"/>
  <c r="F15" i="38"/>
  <c r="F21" i="38"/>
  <c r="F24" i="38"/>
  <c r="F32" i="38"/>
  <c r="F35" i="38"/>
  <c r="F54" i="38"/>
  <c r="F58" i="38"/>
  <c r="F62" i="38"/>
  <c r="F66" i="38"/>
  <c r="F73" i="38"/>
  <c r="F76" i="38"/>
  <c r="F79" i="38"/>
  <c r="F82" i="38"/>
  <c r="F85" i="38"/>
  <c r="F88" i="38"/>
  <c r="F92" i="38"/>
  <c r="F96" i="38"/>
  <c r="F99" i="38"/>
  <c r="F100" i="38"/>
  <c r="F101" i="38"/>
  <c r="F105" i="38"/>
  <c r="F108" i="38"/>
  <c r="F111" i="38"/>
  <c r="F114" i="38"/>
  <c r="F117" i="38"/>
  <c r="F123" i="38"/>
  <c r="F126" i="38"/>
  <c r="F129" i="38"/>
  <c r="F132" i="38"/>
  <c r="F135" i="38"/>
  <c r="F138" i="38"/>
  <c r="F141" i="38"/>
  <c r="F144" i="38"/>
  <c r="F147" i="38"/>
  <c r="F150" i="38"/>
  <c r="F153" i="38"/>
  <c r="F156" i="38"/>
  <c r="F159" i="38"/>
  <c r="F162" i="38"/>
  <c r="F7" i="38"/>
  <c r="F11" i="37"/>
  <c r="F13" i="37"/>
  <c r="F15" i="37"/>
  <c r="F17" i="37"/>
  <c r="F19" i="37"/>
  <c r="F9" i="37"/>
  <c r="F131" i="35" l="1"/>
  <c r="F134" i="35"/>
  <c r="F139" i="35"/>
  <c r="F142" i="35"/>
  <c r="F145" i="35"/>
  <c r="F148" i="35"/>
  <c r="F128" i="35"/>
  <c r="F109" i="35"/>
  <c r="F112" i="35"/>
  <c r="F115" i="35"/>
  <c r="F118" i="35"/>
  <c r="F105" i="35"/>
  <c r="F89" i="35"/>
  <c r="F92" i="35"/>
  <c r="F95" i="35"/>
  <c r="F98" i="35"/>
  <c r="F86" i="35"/>
  <c r="F77" i="35"/>
  <c r="F58" i="35"/>
  <c r="F61" i="35"/>
  <c r="F64" i="35"/>
  <c r="F67" i="35"/>
  <c r="F70" i="35"/>
  <c r="F55" i="35"/>
  <c r="F36" i="35"/>
  <c r="F39" i="35"/>
  <c r="F40" i="35"/>
  <c r="F41" i="35"/>
  <c r="F42" i="35"/>
  <c r="F45" i="35"/>
  <c r="F46" i="35"/>
  <c r="F47" i="35"/>
  <c r="F48" i="35"/>
  <c r="F33" i="35"/>
  <c r="F18" i="35"/>
  <c r="F15" i="35"/>
  <c r="F8" i="35"/>
  <c r="F189" i="20"/>
  <c r="F194" i="20"/>
  <c r="F197" i="20"/>
  <c r="F200" i="20"/>
  <c r="F203" i="20"/>
  <c r="F186" i="20"/>
  <c r="F131" i="20"/>
  <c r="F132" i="20"/>
  <c r="F133" i="20"/>
  <c r="F134" i="20"/>
  <c r="F137" i="20"/>
  <c r="F140" i="20"/>
  <c r="F143" i="20"/>
  <c r="F146" i="20"/>
  <c r="F149" i="20"/>
  <c r="F152" i="20"/>
  <c r="F155" i="20"/>
  <c r="F158" i="20"/>
  <c r="F161" i="20"/>
  <c r="F164" i="20"/>
  <c r="F167" i="20"/>
  <c r="F170" i="20"/>
  <c r="F173" i="20"/>
  <c r="F176" i="20"/>
  <c r="F130" i="20"/>
  <c r="F114" i="20"/>
  <c r="F117" i="20"/>
  <c r="F120" i="20"/>
  <c r="F123" i="20"/>
  <c r="F111" i="20"/>
  <c r="F102" i="20"/>
  <c r="F65" i="20"/>
  <c r="F68" i="20"/>
  <c r="F71" i="20"/>
  <c r="F74" i="20"/>
  <c r="F77" i="20"/>
  <c r="F80" i="20"/>
  <c r="F83" i="20"/>
  <c r="F86" i="20"/>
  <c r="F89" i="20"/>
  <c r="F92" i="20"/>
  <c r="F95" i="20"/>
  <c r="F62" i="20"/>
  <c r="F36" i="20"/>
  <c r="F39" i="20"/>
  <c r="F40" i="20"/>
  <c r="F41" i="20"/>
  <c r="F42" i="20"/>
  <c r="F45" i="20"/>
  <c r="F46" i="20"/>
  <c r="F47" i="20"/>
  <c r="F48" i="20"/>
  <c r="F51" i="20"/>
  <c r="F52" i="20"/>
  <c r="F53" i="20"/>
  <c r="F54" i="20"/>
  <c r="F33" i="20"/>
  <c r="F18" i="20"/>
  <c r="F15" i="20"/>
  <c r="F8" i="20"/>
  <c r="F861" i="7"/>
  <c r="F763" i="7"/>
  <c r="F766" i="7"/>
  <c r="F769" i="7"/>
  <c r="F772" i="7"/>
  <c r="F786" i="7"/>
  <c r="F789" i="7"/>
  <c r="F792" i="7"/>
  <c r="F795" i="7"/>
  <c r="F800" i="7"/>
  <c r="F803" i="7"/>
  <c r="F806" i="7"/>
  <c r="F809" i="7"/>
  <c r="F814" i="7"/>
  <c r="F817" i="7"/>
  <c r="F822" i="7"/>
  <c r="F825" i="7"/>
  <c r="F828" i="7"/>
  <c r="F833" i="7"/>
  <c r="F836" i="7"/>
  <c r="F839" i="7"/>
  <c r="F842" i="7"/>
  <c r="F845" i="7"/>
  <c r="F848" i="7"/>
  <c r="F853" i="7"/>
  <c r="F856" i="7"/>
  <c r="F859" i="7"/>
  <c r="F760" i="7"/>
  <c r="F741" i="7"/>
  <c r="F744" i="7"/>
  <c r="F745" i="7"/>
  <c r="F748" i="7"/>
  <c r="F749" i="7"/>
  <c r="F738" i="7"/>
  <c r="F721" i="7"/>
  <c r="F722" i="7"/>
  <c r="F723" i="7"/>
  <c r="F726" i="7"/>
  <c r="F729" i="7"/>
  <c r="F730" i="7"/>
  <c r="F731" i="7"/>
  <c r="F718" i="7"/>
  <c r="F464" i="7"/>
  <c r="F261" i="7"/>
  <c r="F254" i="7"/>
  <c r="F257" i="7"/>
  <c r="F260" i="7"/>
  <c r="F264" i="7"/>
  <c r="F267" i="7"/>
  <c r="F270" i="7"/>
  <c r="F274" i="7"/>
  <c r="F275" i="7"/>
  <c r="F276" i="7"/>
  <c r="F277" i="7"/>
  <c r="F280" i="7"/>
  <c r="F283" i="7"/>
  <c r="F286" i="7"/>
  <c r="F289" i="7"/>
  <c r="F292" i="7"/>
  <c r="F295" i="7"/>
  <c r="F298" i="7"/>
  <c r="F301" i="7"/>
  <c r="F304" i="7"/>
  <c r="F305" i="7"/>
  <c r="F308" i="7"/>
  <c r="F311" i="7"/>
  <c r="F314" i="7"/>
  <c r="F317" i="7"/>
  <c r="F320" i="7"/>
  <c r="F323" i="7"/>
  <c r="F326" i="7"/>
  <c r="F329" i="7"/>
  <c r="F333" i="7"/>
  <c r="F334" i="7"/>
  <c r="F335" i="7"/>
  <c r="F336" i="7"/>
  <c r="F337" i="7"/>
  <c r="F339" i="7"/>
  <c r="F342" i="7"/>
  <c r="F345" i="7"/>
  <c r="F348" i="7"/>
  <c r="F351" i="7"/>
  <c r="F354" i="7"/>
  <c r="F357" i="7"/>
  <c r="F360" i="7"/>
  <c r="F361" i="7"/>
  <c r="F364" i="7"/>
  <c r="F367" i="7"/>
  <c r="F370" i="7"/>
  <c r="F373" i="7"/>
  <c r="F376" i="7"/>
  <c r="F380" i="7"/>
  <c r="F381" i="7"/>
  <c r="F382" i="7"/>
  <c r="F383" i="7"/>
  <c r="F386" i="7"/>
  <c r="F389" i="7"/>
  <c r="F392" i="7"/>
  <c r="F395" i="7"/>
  <c r="F398" i="7"/>
  <c r="F401" i="7"/>
  <c r="F404" i="7"/>
  <c r="F407" i="7"/>
  <c r="F408" i="7"/>
  <c r="F411" i="7"/>
  <c r="F414" i="7"/>
  <c r="F417" i="7"/>
  <c r="F420" i="7"/>
  <c r="F424" i="7"/>
  <c r="F425" i="7"/>
  <c r="F426" i="7"/>
  <c r="F427" i="7"/>
  <c r="F430" i="7"/>
  <c r="F433" i="7"/>
  <c r="F436" i="7"/>
  <c r="F439" i="7"/>
  <c r="F442" i="7"/>
  <c r="F445" i="7"/>
  <c r="F448" i="7"/>
  <c r="F451" i="7"/>
  <c r="F452" i="7"/>
  <c r="F455" i="7"/>
  <c r="F458" i="7"/>
  <c r="F461" i="7"/>
  <c r="F468" i="7"/>
  <c r="F469" i="7"/>
  <c r="F470" i="7"/>
  <c r="F471" i="7"/>
  <c r="F474" i="7"/>
  <c r="F477" i="7"/>
  <c r="F480" i="7"/>
  <c r="F483" i="7"/>
  <c r="F486" i="7"/>
  <c r="F489" i="7"/>
  <c r="F492" i="7"/>
  <c r="F495" i="7"/>
  <c r="F496" i="7"/>
  <c r="F499" i="7"/>
  <c r="F502" i="7"/>
  <c r="F505" i="7"/>
  <c r="F508" i="7"/>
  <c r="F512" i="7"/>
  <c r="F513" i="7"/>
  <c r="F514" i="7"/>
  <c r="F515" i="7"/>
  <c r="F518" i="7"/>
  <c r="F521" i="7"/>
  <c r="F524" i="7"/>
  <c r="F527" i="7"/>
  <c r="F530" i="7"/>
  <c r="F533" i="7"/>
  <c r="F536" i="7"/>
  <c r="F539" i="7"/>
  <c r="F540" i="7"/>
  <c r="F543" i="7"/>
  <c r="F546" i="7"/>
  <c r="F549" i="7"/>
  <c r="F552" i="7"/>
  <c r="F555" i="7"/>
  <c r="F559" i="7"/>
  <c r="F560" i="7"/>
  <c r="F561" i="7"/>
  <c r="F562" i="7"/>
  <c r="F565" i="7"/>
  <c r="F568" i="7"/>
  <c r="F571" i="7"/>
  <c r="F574" i="7"/>
  <c r="F577" i="7"/>
  <c r="F580" i="7"/>
  <c r="F583" i="7"/>
  <c r="F586" i="7"/>
  <c r="F589" i="7"/>
  <c r="F590" i="7"/>
  <c r="F592" i="7"/>
  <c r="F593" i="7"/>
  <c r="F596" i="7"/>
  <c r="F599" i="7"/>
  <c r="F602" i="7"/>
  <c r="F605" i="7"/>
  <c r="F608" i="7"/>
  <c r="F611" i="7"/>
  <c r="F615" i="7"/>
  <c r="F616" i="7"/>
  <c r="F617" i="7"/>
  <c r="F618" i="7"/>
  <c r="F621" i="7"/>
  <c r="F624" i="7"/>
  <c r="F627" i="7"/>
  <c r="F630" i="7"/>
  <c r="F633" i="7"/>
  <c r="F636" i="7"/>
  <c r="F639" i="7"/>
  <c r="F642" i="7"/>
  <c r="F643" i="7"/>
  <c r="F646" i="7"/>
  <c r="F649" i="7"/>
  <c r="F652" i="7"/>
  <c r="F655" i="7"/>
  <c r="F658" i="7"/>
  <c r="F662" i="7"/>
  <c r="F663" i="7"/>
  <c r="F664" i="7"/>
  <c r="F665" i="7"/>
  <c r="F668" i="7"/>
  <c r="F671" i="7"/>
  <c r="F674" i="7"/>
  <c r="F677" i="7"/>
  <c r="F680" i="7"/>
  <c r="F683" i="7"/>
  <c r="F686" i="7"/>
  <c r="F689" i="7"/>
  <c r="F690" i="7"/>
  <c r="F693" i="7"/>
  <c r="F696" i="7"/>
  <c r="F699" i="7"/>
  <c r="F702" i="7"/>
  <c r="F705" i="7"/>
  <c r="F709" i="7"/>
  <c r="F251" i="7"/>
  <c r="F246" i="7"/>
  <c r="F238" i="7" l="1"/>
  <c r="F243" i="7"/>
  <c r="F235" i="7"/>
  <c r="F226" i="7"/>
  <c r="F207" i="7"/>
  <c r="F210" i="7"/>
  <c r="F213" i="7"/>
  <c r="F216" i="7"/>
  <c r="F219" i="7"/>
  <c r="F204" i="7"/>
  <c r="F192" i="7"/>
  <c r="F195" i="7"/>
  <c r="F189" i="7"/>
  <c r="F160" i="7"/>
  <c r="F163" i="7"/>
  <c r="F166" i="7"/>
  <c r="F169" i="7"/>
  <c r="F172" i="7"/>
  <c r="F175" i="7"/>
  <c r="F180" i="7"/>
  <c r="F157" i="7"/>
  <c r="F141" i="7"/>
  <c r="F144" i="7"/>
  <c r="F138" i="7"/>
  <c r="F131" i="7"/>
  <c r="F128" i="7"/>
  <c r="F109" i="7"/>
  <c r="F112" i="7"/>
  <c r="F115" i="7"/>
  <c r="F118" i="7"/>
  <c r="F121" i="7"/>
  <c r="F106" i="7"/>
  <c r="F96" i="7"/>
  <c r="F99" i="7"/>
  <c r="F93" i="7"/>
  <c r="F77" i="7"/>
  <c r="F80" i="7"/>
  <c r="F83" i="7"/>
  <c r="F86" i="7"/>
  <c r="F74" i="7"/>
  <c r="F61" i="7"/>
  <c r="F64" i="7"/>
  <c r="F58" i="7"/>
  <c r="F39" i="7"/>
  <c r="F21" i="7"/>
  <c r="F24" i="7"/>
  <c r="F27" i="7"/>
  <c r="F30" i="7"/>
  <c r="F33" i="7"/>
  <c r="F36" i="7"/>
  <c r="F42" i="7"/>
  <c r="F45" i="7"/>
  <c r="F48" i="7"/>
  <c r="F51" i="7"/>
  <c r="F18" i="7"/>
  <c r="F11" i="7"/>
  <c r="F8" i="7"/>
  <c r="F6" i="3"/>
  <c r="F8" i="3"/>
  <c r="F10" i="3"/>
  <c r="F12" i="3"/>
  <c r="F14" i="3"/>
  <c r="F17" i="3"/>
  <c r="F18" i="3"/>
  <c r="F19" i="3"/>
  <c r="F20" i="3"/>
  <c r="F21" i="3"/>
  <c r="F23" i="3"/>
  <c r="F28" i="3"/>
  <c r="F30" i="3"/>
  <c r="F32" i="3"/>
  <c r="F34" i="3"/>
  <c r="F36" i="3"/>
  <c r="F38" i="3"/>
  <c r="F41" i="3"/>
  <c r="F42" i="3"/>
  <c r="F43" i="3"/>
  <c r="F44" i="3"/>
  <c r="F45" i="3"/>
  <c r="F46" i="3"/>
  <c r="F13" i="7" l="1"/>
  <c r="F53" i="7"/>
  <c r="F25" i="3"/>
  <c r="F72" i="2"/>
  <c r="F74" i="2"/>
  <c r="F76" i="2"/>
  <c r="F78" i="2"/>
  <c r="F80" i="2"/>
  <c r="F82" i="2"/>
  <c r="F84" i="2"/>
  <c r="F86" i="2"/>
  <c r="F88" i="2"/>
  <c r="F90" i="2"/>
  <c r="F92" i="2"/>
  <c r="F93" i="2"/>
  <c r="F94" i="2"/>
  <c r="F70" i="2"/>
  <c r="F49" i="2"/>
  <c r="F51" i="2"/>
  <c r="F53" i="2"/>
  <c r="F55" i="2"/>
  <c r="F57" i="2"/>
  <c r="F59" i="2"/>
  <c r="F61" i="2"/>
  <c r="F63" i="2"/>
  <c r="F65" i="2"/>
  <c r="F47" i="2"/>
  <c r="F32" i="2"/>
  <c r="F34" i="2"/>
  <c r="F36" i="2"/>
  <c r="F38" i="2"/>
  <c r="F40" i="2"/>
  <c r="F42" i="2"/>
  <c r="F30" i="2"/>
  <c r="F19" i="2"/>
  <c r="F21" i="2"/>
  <c r="F23" i="2"/>
  <c r="F25" i="2"/>
  <c r="F17" i="2"/>
  <c r="F8" i="2"/>
  <c r="F10" i="2"/>
  <c r="F12" i="2"/>
  <c r="F6" i="2"/>
  <c r="C859" i="7" l="1"/>
  <c r="C856" i="7"/>
  <c r="C853" i="7"/>
  <c r="C789" i="7"/>
  <c r="C786" i="7"/>
  <c r="C749" i="7"/>
  <c r="C748" i="7"/>
  <c r="C745" i="7"/>
  <c r="C699" i="7"/>
  <c r="C696" i="7"/>
  <c r="C693" i="7"/>
  <c r="C686" i="7"/>
  <c r="C689" i="7" s="1"/>
  <c r="C683" i="7"/>
  <c r="C677" i="7"/>
  <c r="C668" i="7"/>
  <c r="C662" i="7"/>
  <c r="C652" i="7"/>
  <c r="C649" i="7"/>
  <c r="C646" i="7"/>
  <c r="C642" i="7"/>
  <c r="C639" i="7"/>
  <c r="C636" i="7"/>
  <c r="C621" i="7"/>
  <c r="C615" i="7"/>
  <c r="C617" i="7" s="1"/>
  <c r="C599" i="7"/>
  <c r="C596" i="7"/>
  <c r="C593" i="7"/>
  <c r="C586" i="7"/>
  <c r="C580" i="7"/>
  <c r="C565" i="7"/>
  <c r="C559" i="7"/>
  <c r="C562" i="7" s="1"/>
  <c r="C555" i="7"/>
  <c r="C552" i="7"/>
  <c r="C543" i="7"/>
  <c r="C540" i="7"/>
  <c r="C536" i="7"/>
  <c r="C533" i="7"/>
  <c r="C518" i="7"/>
  <c r="C512" i="7"/>
  <c r="C515" i="7" s="1"/>
  <c r="C502" i="7"/>
  <c r="C499" i="7"/>
  <c r="C495" i="7"/>
  <c r="C492" i="7"/>
  <c r="C489" i="7"/>
  <c r="C496" i="7" s="1"/>
  <c r="C486" i="7"/>
  <c r="C483" i="7"/>
  <c r="C477" i="7"/>
  <c r="C471" i="7"/>
  <c r="C470" i="7"/>
  <c r="C469" i="7"/>
  <c r="C464" i="7"/>
  <c r="C452" i="7"/>
  <c r="C451" i="7"/>
  <c r="C442" i="7"/>
  <c r="C439" i="7"/>
  <c r="C433" i="7"/>
  <c r="C427" i="7"/>
  <c r="C426" i="7"/>
  <c r="C425" i="7"/>
  <c r="C420" i="7"/>
  <c r="C417" i="7"/>
  <c r="C414" i="7"/>
  <c r="C408" i="7"/>
  <c r="C407" i="7"/>
  <c r="C398" i="7"/>
  <c r="C395" i="7"/>
  <c r="C389" i="7"/>
  <c r="C383" i="7"/>
  <c r="C382" i="7"/>
  <c r="C381" i="7"/>
  <c r="C376" i="7"/>
  <c r="C373" i="7"/>
  <c r="C354" i="7"/>
  <c r="C360" i="7" s="1"/>
  <c r="C351" i="7"/>
  <c r="C348" i="7"/>
  <c r="C342" i="7"/>
  <c r="C336" i="7"/>
  <c r="C335" i="7"/>
  <c r="C334" i="7"/>
  <c r="C329" i="7"/>
  <c r="C326" i="7"/>
  <c r="C305" i="7"/>
  <c r="C304" i="7"/>
  <c r="C289" i="7"/>
  <c r="C283" i="7"/>
  <c r="C277" i="7"/>
  <c r="C276" i="7"/>
  <c r="C275" i="7"/>
  <c r="C264" i="7"/>
  <c r="C254" i="7" s="1"/>
  <c r="C261" i="7"/>
  <c r="C260" i="7"/>
  <c r="C630" i="7" l="1"/>
  <c r="C589" i="7"/>
  <c r="C590" i="7"/>
  <c r="F751" i="7"/>
  <c r="C514" i="7"/>
  <c r="C561" i="7"/>
  <c r="C521" i="7"/>
  <c r="C568" i="7"/>
  <c r="C361" i="7"/>
  <c r="C680" i="7"/>
  <c r="C671" i="7"/>
  <c r="C633" i="7"/>
  <c r="C624" i="7"/>
  <c r="C665" i="7"/>
  <c r="C663" i="7"/>
  <c r="C690" i="7"/>
  <c r="F733" i="7"/>
  <c r="C530" i="7"/>
  <c r="C577" i="7"/>
  <c r="C618" i="7"/>
  <c r="C616" i="7"/>
  <c r="C643" i="7"/>
  <c r="C664" i="7"/>
  <c r="C527" i="7"/>
  <c r="C539" i="7"/>
  <c r="C574" i="7"/>
  <c r="C513" i="7"/>
  <c r="C560" i="7"/>
  <c r="F753" i="7" l="1"/>
  <c r="F711" i="7"/>
  <c r="F228" i="7"/>
  <c r="C106" i="7"/>
  <c r="C99" i="7"/>
  <c r="C96" i="7"/>
  <c r="C93" i="7"/>
  <c r="C86" i="7"/>
  <c r="C144" i="7" s="1"/>
  <c r="C83" i="7"/>
  <c r="C74" i="7"/>
  <c r="F65" i="7"/>
  <c r="C27" i="7"/>
  <c r="C24" i="7"/>
  <c r="F133" i="7" l="1"/>
  <c r="C141" i="7"/>
  <c r="F101" i="7"/>
  <c r="C109" i="7"/>
  <c r="F123" i="7" s="1"/>
  <c r="F182" i="7"/>
  <c r="F221" i="7"/>
  <c r="F197" i="7"/>
  <c r="F67" i="7"/>
  <c r="F88" i="7"/>
  <c r="C138" i="7"/>
  <c r="A10" i="30"/>
  <c r="A12" i="30" s="1"/>
  <c r="A15" i="30" s="1"/>
  <c r="A17" i="30" s="1"/>
  <c r="A19" i="30" s="1"/>
  <c r="A21" i="30" s="1"/>
  <c r="A23" i="30" s="1"/>
  <c r="A25" i="30" s="1"/>
  <c r="A27" i="30" s="1"/>
  <c r="A30" i="30" s="1"/>
  <c r="A32" i="30" s="1"/>
  <c r="A34" i="30" s="1"/>
  <c r="A36" i="30" s="1"/>
  <c r="A38" i="30" s="1"/>
  <c r="A40" i="30" s="1"/>
  <c r="A42" i="30" s="1"/>
  <c r="A44" i="30" s="1"/>
  <c r="A8" i="30"/>
  <c r="G46" i="30"/>
  <c r="A10" i="43"/>
  <c r="G8" i="43"/>
  <c r="A8" i="43"/>
  <c r="G12" i="43"/>
  <c r="D21" i="21" s="1"/>
  <c r="A9" i="29"/>
  <c r="A11" i="29" s="1"/>
  <c r="A13" i="29" s="1"/>
  <c r="A15" i="29" s="1"/>
  <c r="A17" i="29" s="1"/>
  <c r="A7" i="29"/>
  <c r="F230" i="7" l="1"/>
  <c r="F146" i="7"/>
  <c r="F148" i="7" s="1"/>
  <c r="G32" i="29"/>
  <c r="A21" i="29"/>
  <c r="A23" i="29" s="1"/>
  <c r="A25" i="29" s="1"/>
  <c r="A28" i="29" s="1"/>
  <c r="A30" i="29" s="1"/>
  <c r="A19" i="29"/>
  <c r="G71" i="28" l="1"/>
  <c r="A49" i="42"/>
  <c r="A13" i="27" l="1"/>
  <c r="A16" i="27" s="1"/>
  <c r="A19" i="27" s="1"/>
  <c r="A23" i="27" s="1"/>
  <c r="A25" i="27" s="1"/>
  <c r="A27" i="27" s="1"/>
  <c r="A29" i="27" s="1"/>
  <c r="A31" i="27" s="1"/>
  <c r="A34" i="27" s="1"/>
  <c r="A39" i="27" s="1"/>
  <c r="A45" i="27" s="1"/>
  <c r="A47" i="27" s="1"/>
  <c r="A50" i="27" s="1"/>
  <c r="A52" i="27" s="1"/>
  <c r="A54" i="27" s="1"/>
  <c r="A56" i="27" s="1"/>
  <c r="A58" i="27" s="1"/>
  <c r="A60" i="27" s="1"/>
  <c r="A62" i="27" s="1"/>
  <c r="A64" i="27" s="1"/>
  <c r="A8" i="26"/>
  <c r="A11" i="26" s="1"/>
  <c r="A13" i="26" s="1"/>
  <c r="A17" i="26" s="1"/>
  <c r="A10" i="25"/>
  <c r="A13" i="25" s="1"/>
  <c r="A15" i="25" s="1"/>
  <c r="A17" i="25" s="1"/>
  <c r="A19" i="25" s="1"/>
  <c r="A21" i="25" s="1"/>
  <c r="A23" i="25" s="1"/>
  <c r="A25" i="25" s="1"/>
  <c r="A27" i="25" s="1"/>
  <c r="A30" i="25" s="1"/>
  <c r="A32" i="25" s="1"/>
  <c r="A34" i="25" s="1"/>
  <c r="A36" i="25" s="1"/>
  <c r="A38" i="25" s="1"/>
  <c r="A40" i="25" s="1"/>
  <c r="A42" i="25" s="1"/>
  <c r="A44" i="25" s="1"/>
  <c r="A46" i="25" s="1"/>
  <c r="A58" i="25" s="1"/>
  <c r="A71" i="25" s="1"/>
  <c r="A86" i="25" s="1"/>
  <c r="A99" i="25" s="1"/>
  <c r="A115" i="25" s="1"/>
  <c r="A8" i="25"/>
  <c r="A9" i="42"/>
  <c r="A11" i="42" s="1"/>
  <c r="A13" i="42" s="1"/>
  <c r="A15" i="42" s="1"/>
  <c r="A17" i="42" s="1"/>
  <c r="A19" i="42" s="1"/>
  <c r="A21" i="42" s="1"/>
  <c r="A23" i="42" s="1"/>
  <c r="A32" i="42" s="1"/>
  <c r="A37" i="42" s="1"/>
  <c r="A7" i="42"/>
  <c r="G51" i="42"/>
  <c r="A7" i="23"/>
  <c r="G84" i="23"/>
  <c r="A9" i="23"/>
  <c r="A11" i="23" s="1"/>
  <c r="A13" i="23" s="1"/>
  <c r="A15" i="23" s="1"/>
  <c r="A18" i="23" s="1"/>
  <c r="A20" i="23" s="1"/>
  <c r="A22" i="23" s="1"/>
  <c r="A24" i="23" s="1"/>
  <c r="A26" i="23" s="1"/>
  <c r="A28" i="23" s="1"/>
  <c r="A30" i="23" s="1"/>
  <c r="A32" i="23" s="1"/>
  <c r="A34" i="23" s="1"/>
  <c r="A36" i="23" s="1"/>
  <c r="A38" i="23" s="1"/>
  <c r="A40" i="23" s="1"/>
  <c r="A43" i="23" s="1"/>
  <c r="A45" i="23" s="1"/>
  <c r="A47" i="23" s="1"/>
  <c r="A49" i="23" s="1"/>
  <c r="A51" i="23" s="1"/>
  <c r="A53" i="23" s="1"/>
  <c r="A55" i="23" s="1"/>
  <c r="A68" i="23" s="1"/>
  <c r="A82" i="23" s="1"/>
  <c r="G66" i="27" l="1"/>
  <c r="G20" i="26"/>
  <c r="G117" i="25"/>
  <c r="D5" i="21"/>
  <c r="C116" i="41"/>
  <c r="C119" i="41" s="1"/>
  <c r="F84" i="41"/>
  <c r="C58" i="41"/>
  <c r="C49" i="41"/>
  <c r="C46" i="41"/>
  <c r="C39" i="41"/>
  <c r="C38" i="41"/>
  <c r="C37" i="41"/>
  <c r="C18" i="41"/>
  <c r="F10" i="41"/>
  <c r="C6" i="40"/>
  <c r="F105" i="41" l="1"/>
  <c r="C7" i="40" s="1"/>
  <c r="F22" i="41"/>
  <c r="F24" i="41" s="1"/>
  <c r="C4" i="40" s="1"/>
  <c r="F63" i="41"/>
  <c r="F86" i="41"/>
  <c r="F41" i="41"/>
  <c r="C122" i="41"/>
  <c r="A7" i="39"/>
  <c r="F124" i="41" l="1"/>
  <c r="C8" i="40" s="1"/>
  <c r="F68" i="41"/>
  <c r="C5" i="40" s="1"/>
  <c r="F51" i="39"/>
  <c r="C5" i="36" s="1"/>
  <c r="A16" i="39"/>
  <c r="A19" i="39" s="1"/>
  <c r="A6" i="38"/>
  <c r="A7" i="37"/>
  <c r="C10" i="40" l="1"/>
  <c r="F23" i="37"/>
  <c r="F52" i="39"/>
  <c r="F53" i="39" s="1"/>
  <c r="A23" i="39"/>
  <c r="A28" i="39"/>
  <c r="F167" i="38"/>
  <c r="A9" i="38"/>
  <c r="A11" i="37"/>
  <c r="A13" i="37" s="1"/>
  <c r="C3" i="36" l="1"/>
  <c r="C12" i="40"/>
  <c r="C13" i="40" s="1"/>
  <c r="F23" i="33"/>
  <c r="F24" i="37"/>
  <c r="F25" i="37" s="1"/>
  <c r="A34" i="39"/>
  <c r="A37" i="39" s="1"/>
  <c r="A43" i="39" s="1"/>
  <c r="A17" i="38"/>
  <c r="A15" i="37"/>
  <c r="A17" i="37" s="1"/>
  <c r="C139" i="35"/>
  <c r="C105" i="35"/>
  <c r="C142" i="35" s="1"/>
  <c r="F79" i="35"/>
  <c r="C67" i="35"/>
  <c r="C55" i="35"/>
  <c r="C48" i="35"/>
  <c r="C47" i="35"/>
  <c r="C46" i="35"/>
  <c r="C42" i="35"/>
  <c r="C41" i="35"/>
  <c r="C40" i="35"/>
  <c r="C18" i="35"/>
  <c r="F10" i="35"/>
  <c r="C5" i="34"/>
  <c r="F72" i="35" l="1"/>
  <c r="F50" i="35"/>
  <c r="A46" i="39"/>
  <c r="A23" i="38"/>
  <c r="A19" i="37"/>
  <c r="A21" i="37" s="1"/>
  <c r="F100" i="35"/>
  <c r="C145" i="35"/>
  <c r="C148" i="35"/>
  <c r="F22" i="35"/>
  <c r="F24" i="35" s="1"/>
  <c r="C4" i="34" s="1"/>
  <c r="F120" i="35"/>
  <c r="F81" i="35" l="1"/>
  <c r="F150" i="35"/>
  <c r="C8" i="34" s="1"/>
  <c r="C10" i="34" s="1"/>
  <c r="F21" i="33" s="1"/>
  <c r="A49" i="39"/>
  <c r="A26" i="38"/>
  <c r="A34" i="38" l="1"/>
  <c r="C12" i="34"/>
  <c r="C13" i="34" s="1"/>
  <c r="A37" i="38" l="1"/>
  <c r="A47" i="38" l="1"/>
  <c r="A51" i="38" l="1"/>
  <c r="A56" i="38" s="1"/>
  <c r="A60" i="38" s="1"/>
  <c r="A64" i="38" s="1"/>
  <c r="A68" i="38" s="1"/>
  <c r="A75" i="38" s="1"/>
  <c r="A78" i="38" s="1"/>
  <c r="A81" i="38" s="1"/>
  <c r="A84" i="38" s="1"/>
  <c r="A87" i="38" s="1"/>
  <c r="A90" i="38" s="1"/>
  <c r="A94" i="38" s="1"/>
  <c r="A98" i="38" s="1"/>
  <c r="A103" i="38" s="1"/>
  <c r="A107" i="38" s="1"/>
  <c r="A110" i="38" s="1"/>
  <c r="A113" i="38" s="1"/>
  <c r="A116" i="38" s="1"/>
  <c r="A119" i="38" s="1"/>
  <c r="A122" i="38" s="1"/>
  <c r="A125" i="38" s="1"/>
  <c r="A128" i="38" s="1"/>
  <c r="A131" i="38" s="1"/>
  <c r="A134" i="38" s="1"/>
  <c r="A137" i="38" s="1"/>
  <c r="A140" i="38" s="1"/>
  <c r="A143" i="38" s="1"/>
  <c r="A146" i="38" s="1"/>
  <c r="A149" i="38" s="1"/>
  <c r="A152" i="38" s="1"/>
  <c r="A155" i="38" s="1"/>
  <c r="A158" i="38" s="1"/>
  <c r="A161" i="38" s="1"/>
  <c r="A165" i="38" s="1"/>
  <c r="F30" i="32"/>
  <c r="F14" i="32"/>
  <c r="A7" i="31"/>
  <c r="A9" i="31"/>
  <c r="G19" i="31"/>
  <c r="D23" i="21" s="1"/>
  <c r="H9" i="31"/>
  <c r="A11" i="31"/>
  <c r="A13" i="31"/>
  <c r="A15" i="31"/>
  <c r="A17" i="31"/>
  <c r="I38" i="30"/>
  <c r="I40" i="30"/>
  <c r="I42" i="30"/>
  <c r="D19" i="21"/>
  <c r="J7" i="28"/>
  <c r="J8" i="28"/>
  <c r="J9" i="28"/>
  <c r="J10" i="28"/>
  <c r="J11" i="28"/>
  <c r="J13" i="28"/>
  <c r="J14" i="28"/>
  <c r="J15" i="28"/>
  <c r="J16" i="28"/>
  <c r="J17" i="28"/>
  <c r="J18" i="28"/>
  <c r="J19" i="28"/>
  <c r="J20" i="28"/>
  <c r="J22" i="28"/>
  <c r="J23" i="28"/>
  <c r="J24" i="28"/>
  <c r="J25" i="28"/>
  <c r="J26" i="28"/>
  <c r="J27" i="28"/>
  <c r="J28" i="28"/>
  <c r="J30" i="28"/>
  <c r="J31" i="28"/>
  <c r="J32" i="28"/>
  <c r="J33" i="28"/>
  <c r="J34" i="28"/>
  <c r="J35" i="28"/>
  <c r="J36" i="28"/>
  <c r="J37" i="28"/>
  <c r="J38" i="28"/>
  <c r="J40" i="28"/>
  <c r="J41" i="28"/>
  <c r="J42" i="28"/>
  <c r="J43" i="28"/>
  <c r="J44" i="28"/>
  <c r="J45" i="28"/>
  <c r="J46" i="28"/>
  <c r="J47" i="28"/>
  <c r="J48" i="28"/>
  <c r="J49" i="28"/>
  <c r="J50" i="28"/>
  <c r="J51" i="28"/>
  <c r="D11" i="21"/>
  <c r="D7" i="21"/>
  <c r="I8" i="25"/>
  <c r="I10" i="25"/>
  <c r="I13" i="25"/>
  <c r="I15" i="25"/>
  <c r="I17" i="25"/>
  <c r="I19" i="25"/>
  <c r="I21" i="25"/>
  <c r="I23" i="25"/>
  <c r="I25" i="25"/>
  <c r="I27" i="25"/>
  <c r="I38" i="25"/>
  <c r="I40" i="25"/>
  <c r="I42" i="25"/>
  <c r="I44" i="25"/>
  <c r="I47" i="25"/>
  <c r="I56" i="25" s="1"/>
  <c r="I48" i="25"/>
  <c r="I49" i="25"/>
  <c r="I50" i="25"/>
  <c r="I51" i="25"/>
  <c r="I52" i="25"/>
  <c r="I53" i="25"/>
  <c r="I54" i="25"/>
  <c r="I55" i="25"/>
  <c r="I59" i="25"/>
  <c r="I69" i="25" s="1"/>
  <c r="I60" i="25"/>
  <c r="I61" i="25"/>
  <c r="I62" i="25"/>
  <c r="I63" i="25"/>
  <c r="I64" i="25"/>
  <c r="I65" i="25"/>
  <c r="I66" i="25"/>
  <c r="I67" i="25"/>
  <c r="I68" i="25"/>
  <c r="I72" i="25"/>
  <c r="I73" i="25"/>
  <c r="I84" i="25" s="1"/>
  <c r="I74" i="25"/>
  <c r="I75" i="25"/>
  <c r="I76" i="25"/>
  <c r="I77" i="25"/>
  <c r="I78" i="25"/>
  <c r="I79" i="25"/>
  <c r="I80" i="25"/>
  <c r="I81" i="25"/>
  <c r="I82" i="25"/>
  <c r="I83" i="25"/>
  <c r="I87" i="25"/>
  <c r="I88" i="25"/>
  <c r="I89" i="25"/>
  <c r="I90" i="25"/>
  <c r="I91" i="25"/>
  <c r="I97" i="25" s="1"/>
  <c r="I92" i="25"/>
  <c r="I93" i="25"/>
  <c r="I94" i="25"/>
  <c r="I95" i="25"/>
  <c r="I96" i="25"/>
  <c r="I100" i="25"/>
  <c r="I101" i="25"/>
  <c r="I102" i="25"/>
  <c r="I103" i="25"/>
  <c r="I104" i="25"/>
  <c r="I105" i="25"/>
  <c r="I106" i="25"/>
  <c r="I107" i="25"/>
  <c r="I108" i="25"/>
  <c r="I109" i="25"/>
  <c r="I110" i="25"/>
  <c r="I111" i="25"/>
  <c r="I7" i="23"/>
  <c r="I9" i="23"/>
  <c r="I18" i="23"/>
  <c r="I20" i="23"/>
  <c r="I22" i="23"/>
  <c r="I24" i="23"/>
  <c r="I26" i="23"/>
  <c r="I28" i="23"/>
  <c r="I30" i="23"/>
  <c r="I32" i="23"/>
  <c r="I34" i="23"/>
  <c r="I36" i="23"/>
  <c r="I38" i="23"/>
  <c r="I40" i="23"/>
  <c r="I45" i="23"/>
  <c r="I47" i="23"/>
  <c r="I49" i="23"/>
  <c r="I51" i="23"/>
  <c r="I56" i="23"/>
  <c r="I57" i="23"/>
  <c r="I58" i="23"/>
  <c r="I59" i="23"/>
  <c r="I60" i="23"/>
  <c r="I61" i="23"/>
  <c r="I62" i="23"/>
  <c r="I63" i="23"/>
  <c r="I64" i="23"/>
  <c r="I65" i="23"/>
  <c r="I69" i="23"/>
  <c r="I70" i="23"/>
  <c r="I71" i="23"/>
  <c r="I72" i="23"/>
  <c r="I73" i="23"/>
  <c r="I74" i="23"/>
  <c r="I75" i="23"/>
  <c r="I76" i="23"/>
  <c r="I77" i="23"/>
  <c r="I78" i="23"/>
  <c r="I79" i="23"/>
  <c r="D13" i="21"/>
  <c r="D15" i="21"/>
  <c r="D17" i="21"/>
  <c r="I80" i="23" l="1"/>
  <c r="I66" i="23"/>
  <c r="D3" i="21"/>
  <c r="F32" i="32"/>
  <c r="F10" i="20"/>
  <c r="C18" i="20"/>
  <c r="C36" i="20"/>
  <c r="C40" i="20"/>
  <c r="C41" i="20"/>
  <c r="C42" i="20"/>
  <c r="C46" i="20"/>
  <c r="C47" i="20"/>
  <c r="C48" i="20"/>
  <c r="K51" i="20"/>
  <c r="O51" i="20"/>
  <c r="S51" i="20"/>
  <c r="K52" i="20"/>
  <c r="O52" i="20"/>
  <c r="S52" i="20"/>
  <c r="S57" i="20" s="1"/>
  <c r="I54" i="20"/>
  <c r="K53" i="20" s="1"/>
  <c r="K54" i="20"/>
  <c r="K55" i="20" s="1"/>
  <c r="K56" i="20" s="1"/>
  <c r="M54" i="20"/>
  <c r="O53" i="20" s="1"/>
  <c r="O54" i="20"/>
  <c r="Q54" i="20"/>
  <c r="S58" i="20" s="1"/>
  <c r="S54" i="20"/>
  <c r="S55" i="20" s="1"/>
  <c r="O55" i="20"/>
  <c r="K57" i="20"/>
  <c r="O57" i="20"/>
  <c r="O58" i="20"/>
  <c r="K61" i="20"/>
  <c r="O61" i="20"/>
  <c r="C68" i="20"/>
  <c r="F104" i="20"/>
  <c r="C134" i="20"/>
  <c r="C194" i="20"/>
  <c r="D75" i="19"/>
  <c r="O59" i="20" l="1"/>
  <c r="F125" i="20"/>
  <c r="C6" i="19" s="1"/>
  <c r="C65" i="20"/>
  <c r="O56" i="20"/>
  <c r="O60" i="20" s="1"/>
  <c r="S56" i="20"/>
  <c r="K58" i="20"/>
  <c r="K59" i="20" s="1"/>
  <c r="C71" i="20"/>
  <c r="D25" i="21"/>
  <c r="D27" i="21" s="1"/>
  <c r="F22" i="20"/>
  <c r="F24" i="20" s="1"/>
  <c r="C4" i="19" s="1"/>
  <c r="S53" i="20"/>
  <c r="S59" i="20" s="1"/>
  <c r="S60" i="20" s="1"/>
  <c r="C133" i="20"/>
  <c r="S61" i="20"/>
  <c r="D76" i="6"/>
  <c r="C83" i="20" l="1"/>
  <c r="C51" i="20"/>
  <c r="C54" i="20" s="1"/>
  <c r="IT101" i="7"/>
  <c r="C3" i="6"/>
  <c r="D29" i="21"/>
  <c r="D31" i="21" s="1"/>
  <c r="F24" i="33"/>
  <c r="F178" i="20"/>
  <c r="C7" i="19" s="1"/>
  <c r="C197" i="20"/>
  <c r="K60" i="20"/>
  <c r="C89" i="20" s="1"/>
  <c r="C52" i="20"/>
  <c r="C53" i="20"/>
  <c r="F86" i="3"/>
  <c r="F88" i="3"/>
  <c r="F89" i="3"/>
  <c r="F90" i="3"/>
  <c r="F91" i="3"/>
  <c r="F92" i="3"/>
  <c r="F93" i="3"/>
  <c r="F94" i="3"/>
  <c r="F87" i="3"/>
  <c r="F51" i="3"/>
  <c r="F55" i="3"/>
  <c r="C8" i="6" l="1"/>
  <c r="F96" i="3"/>
  <c r="F64" i="1" s="1"/>
  <c r="C92" i="20"/>
  <c r="F97" i="20" s="1"/>
  <c r="F57" i="20"/>
  <c r="C5" i="6"/>
  <c r="C203" i="20"/>
  <c r="C200" i="20"/>
  <c r="C7" i="6"/>
  <c r="C4" i="6"/>
  <c r="F58" i="1"/>
  <c r="F53" i="3"/>
  <c r="F57" i="3" s="1"/>
  <c r="F106" i="20" l="1"/>
  <c r="C5" i="19" s="1"/>
  <c r="F205" i="20"/>
  <c r="C8" i="19" s="1"/>
  <c r="C9" i="6"/>
  <c r="C11" i="6" s="1"/>
  <c r="F60" i="1"/>
  <c r="C10" i="19" l="1"/>
  <c r="F20" i="33" s="1"/>
  <c r="C13" i="6"/>
  <c r="C14" i="6" s="1"/>
  <c r="F19" i="33"/>
  <c r="F66" i="3"/>
  <c r="C12" i="19" l="1"/>
  <c r="C13" i="19" s="1"/>
  <c r="F79" i="3"/>
  <c r="F78" i="3"/>
  <c r="F77" i="3"/>
  <c r="F71" i="3"/>
  <c r="F73" i="3" s="1"/>
  <c r="F64" i="3"/>
  <c r="F62" i="3"/>
  <c r="F60" i="3"/>
  <c r="F96" i="2"/>
  <c r="F81" i="3" l="1"/>
  <c r="F68" i="3"/>
  <c r="F61" i="1" s="1"/>
  <c r="F48" i="3"/>
  <c r="F59" i="1" s="1"/>
  <c r="F44" i="2"/>
  <c r="F50" i="1" s="1"/>
  <c r="F27" i="2"/>
  <c r="F49" i="1" s="1"/>
  <c r="F63" i="1"/>
  <c r="F62" i="1"/>
  <c r="F52" i="1"/>
  <c r="F67" i="2"/>
  <c r="F51" i="1" s="1"/>
  <c r="F14" i="2"/>
  <c r="F48" i="1" s="1"/>
  <c r="F54" i="1" l="1"/>
  <c r="F66" i="1"/>
  <c r="F68" i="1" l="1"/>
  <c r="F18" i="33" s="1"/>
  <c r="F70" i="1" l="1"/>
  <c r="F72" i="1" s="1"/>
  <c r="C4" i="36"/>
  <c r="C7" i="36" s="1"/>
  <c r="F168" i="38"/>
  <c r="F169" i="38" s="1"/>
  <c r="C8" i="36" l="1"/>
  <c r="C9" i="36" s="1"/>
  <c r="F22" i="33"/>
  <c r="F26" i="33" s="1"/>
  <c r="F27" i="33" s="1"/>
  <c r="F28" i="33" s="1"/>
  <c r="F30" i="33" s="1"/>
  <c r="F32" i="33" s="1"/>
</calcChain>
</file>

<file path=xl/comments1.xml><?xml version="1.0" encoding="utf-8"?>
<comments xmlns="http://schemas.openxmlformats.org/spreadsheetml/2006/main">
  <authors>
    <author>Aspekt</author>
  </authors>
  <commentList>
    <comment ref="H53" authorId="0" shapeId="0">
      <text>
        <r>
          <rPr>
            <b/>
            <sz val="9"/>
            <color indexed="81"/>
            <rFont val="Segoe UI"/>
            <family val="2"/>
            <charset val="238"/>
          </rPr>
          <t>Aspekt:</t>
        </r>
        <r>
          <rPr>
            <sz val="9"/>
            <color indexed="81"/>
            <rFont val="Segoe UI"/>
            <family val="2"/>
            <charset val="238"/>
          </rPr>
          <t xml:space="preserve">
Tampon cestnega telesa - cestni ustroj</t>
        </r>
      </text>
    </comment>
  </commentList>
</comments>
</file>

<file path=xl/sharedStrings.xml><?xml version="1.0" encoding="utf-8"?>
<sst xmlns="http://schemas.openxmlformats.org/spreadsheetml/2006/main" count="3187" uniqueCount="1456">
  <si>
    <t>POPIS DEL, PREDIZMERE IN PREDRAČUN</t>
  </si>
  <si>
    <t xml:space="preserve">Objekt:  </t>
  </si>
  <si>
    <t>Investitor:</t>
  </si>
  <si>
    <t>Faza:</t>
  </si>
  <si>
    <t>PZI</t>
  </si>
  <si>
    <t>Popis izdelal:</t>
  </si>
  <si>
    <t>Ervin Rupena, gr.teh.</t>
  </si>
  <si>
    <t>I.</t>
  </si>
  <si>
    <t>GRADBENA DELA</t>
  </si>
  <si>
    <t>A.</t>
  </si>
  <si>
    <t>PRIPRAVLJALNA DELA</t>
  </si>
  <si>
    <t>B.</t>
  </si>
  <si>
    <t>ZEMELJSKA DELA</t>
  </si>
  <si>
    <t>C.</t>
  </si>
  <si>
    <t>TESARSKA DELA</t>
  </si>
  <si>
    <t>D.</t>
  </si>
  <si>
    <t>BETONSKA DELA</t>
  </si>
  <si>
    <t>E.</t>
  </si>
  <si>
    <t>ZIDARSKA DELA</t>
  </si>
  <si>
    <t>F.</t>
  </si>
  <si>
    <t>G.</t>
  </si>
  <si>
    <t>GRADBENA DELA SKUPAJ:</t>
  </si>
  <si>
    <t>II.</t>
  </si>
  <si>
    <t>OBRTNIŠKA DELA</t>
  </si>
  <si>
    <t>KROVSKO KLEPARSKA DELA</t>
  </si>
  <si>
    <t>KERAMIČARSKA DELA</t>
  </si>
  <si>
    <t>SLIKOPLESKARSKA DELA</t>
  </si>
  <si>
    <t>STAVBNO POHIŠTVO</t>
  </si>
  <si>
    <t>OBRTNIŠKA DELA SKUPAJ</t>
  </si>
  <si>
    <t>GRADBENA IN OBRTNIŠKA SKUPAJ</t>
  </si>
  <si>
    <t>SKUPAJ Z DDV:</t>
  </si>
  <si>
    <t>SPLOŠNO O CENI ZA MERSKO ENOTO POSAMEZNE POSTAVKE - v ceni morajo biti zajeti</t>
  </si>
  <si>
    <t>vsi stroški potrebni za izvedbo:</t>
  </si>
  <si>
    <t>&gt;</t>
  </si>
  <si>
    <t>za izdelavo, dobavo in vgradnjo (montažo);</t>
  </si>
  <si>
    <t>za nabavo in dobavo osnovnega, pomožnega, pritrdilnega, tesnilnega materiala za izvedbo</t>
  </si>
  <si>
    <t>posamezne postavke iz popisa;</t>
  </si>
  <si>
    <t>za vse zunanje in notranje transporte (horizontalne in vertikalne) potrebnega materiala,</t>
  </si>
  <si>
    <t>delovne sile, orodja, delavnih strojev oz. naprav do mesta vgradnje;</t>
  </si>
  <si>
    <t>za vsa pripravljalna, osnovna, pomožna in zaključna dela;</t>
  </si>
  <si>
    <t>za premične delovne in lovilne odre za izvedbo posameznih del;</t>
  </si>
  <si>
    <t>za vsa dokazila o izpolnitvi zahtevane kvalitete izvedenih del oz. fizikalnih lastnosti vgrajenih</t>
  </si>
  <si>
    <t>materialov, izdelkov ter proizvodov, ki so navedena v splošnih določilih, določilh izvedbe pri</t>
  </si>
  <si>
    <t>posameznih vrstah del oz. zahtevah v posameznih postavkah in ob dokončanju predložiti pravilno</t>
  </si>
  <si>
    <t>izpolnjeno "Dokazilo o zanesljivosti objekta";</t>
  </si>
  <si>
    <t>za snemanje izmer na licu mesta in vsklajevanje z nadzorom oz. odg.projektantom v primeru</t>
  </si>
  <si>
    <t>odstopanja od projekta ali pri nejasnostih;</t>
  </si>
  <si>
    <t>za koordinacijo izvajalca do svojih podizvajalcev, dobaviteljev in kooperantov, ki sodelujejo pri</t>
  </si>
  <si>
    <t>predmetni gradnji oz.izvedbi del;</t>
  </si>
  <si>
    <t>za izpolnitev vseh obvez izvajalca po veljavni zakonodaji in pripadajočih veljavnih pravilnikih, ki se</t>
  </si>
  <si>
    <t>znanašajo direktno ali indirektno na izvedbo/gradnjo;</t>
  </si>
  <si>
    <t>za izpolnitev obvez izvajalca glede varstva pri delu na premičnih deloviščih (gradbišču);</t>
  </si>
  <si>
    <t>DDV prikazati posebej!</t>
  </si>
  <si>
    <t>SPLOŠNA DOLOČILA:</t>
  </si>
  <si>
    <t>Sestavni del tega projektantskega popisa je kompletna projektna PZI dokumentacija!</t>
  </si>
  <si>
    <t>Vsa dela morajo biti izvedena kvalitetno iz materialov z zahtevanimi fizikalnimi lastnostmi in jih je</t>
  </si>
  <si>
    <t>potrebno izvajati po predloženi tehnični dokumentaciji, detajlih ter navodilih arhitekta oziroma</t>
  </si>
  <si>
    <t>izbranega proizvajalca!</t>
  </si>
  <si>
    <t>Vsi vgrajeni materiali in proizvodi morajo imeti ustrezen atest oz. certifikat ter naj odgovarjajo</t>
  </si>
  <si>
    <t>cenovnemu razredu, skladno z zahtevami investitorja!</t>
  </si>
  <si>
    <t>Vse mere kontrolirati po veljavnih projektih PZI oz. na objektu !</t>
  </si>
  <si>
    <t>Dimenzije in količine je potrebno pred izdelavo oziroma naročanjem preveriti na objektu!</t>
  </si>
  <si>
    <t>Pri delih, kjer je naveden določen material, je možna tudi izbira drugega z enakimi lastnostmi in</t>
  </si>
  <si>
    <t>kvaliteto.</t>
  </si>
  <si>
    <t>Vse zaključne materiale mora (kvaliteto, dimenzije, teksturo, barvo,..) potrditi izvajalcu oz.</t>
  </si>
  <si>
    <t>dobavitelju odgovorni projektant!</t>
  </si>
  <si>
    <t>Potrebni odri so upoštevani v enotnih cenah, v kolikor ni drugače določeno in se ne obračunajo</t>
  </si>
  <si>
    <t>posebej.</t>
  </si>
  <si>
    <t>Izmere vseh izvršenih del je potrebno izdelati po GNG in veljavnih standardih z vsemi pogoji ter</t>
  </si>
  <si>
    <t>uzancami, ki jih vsebujejo. Na osnovi izmer in ponudbenih cen se izvrši končni obračun izvedenih</t>
  </si>
  <si>
    <t>del tako, kot je dogovorjeno s pogodbo za predmetna izvedena dela.</t>
  </si>
  <si>
    <t>Dodatna, nepredvidena in več dela, ki niso zajeta v popisu se izvedejo po predhodnem dogovoru</t>
  </si>
  <si>
    <t>z nadzornikom in se obračunajo po dejanskih količinah po predhodni odobritvi enotne cene s strani</t>
  </si>
  <si>
    <t>investitorja.</t>
  </si>
  <si>
    <t>V kolikor v projektni dokumentaciji ni detajla za določeno vrsto del, je predlog detajla dolžan izdelati</t>
  </si>
  <si>
    <t>ponudnik - izvajalec in ga predložiti odgovornemu projektantu v potrditev!</t>
  </si>
  <si>
    <t>Odvoz odpadnega materiala se izvrši v skladu z veljavno zakonodajo, na javne deponije odpadnega</t>
  </si>
  <si>
    <t>materiala, katere imajo upravna dovoljenja za deponiranje posameznih vrst materiala.</t>
  </si>
  <si>
    <t>Ponudnik - izvajalec sam izbere lokacije deponij in v cenah upošteva vse stroške deponiranja in</t>
  </si>
  <si>
    <t>transporta.</t>
  </si>
  <si>
    <t>Vsi izvajalci gradbenih, zaključnih in instalacijskih del na gradbišču morajo upoštevati vsa veljavna</t>
  </si>
  <si>
    <t>določila in predpise o varstvu pri delu!</t>
  </si>
  <si>
    <t>PONUDNIK MORA V CENI NA ENOTO ZAJETI IZDELAVO DOKAZILA O ZANESLJIVOSTI</t>
  </si>
  <si>
    <t>VKLJUČNO S PRIDOBITVIJO VSEH CERTIFIKATOV, POROČIL, MERITEV, IZJAV ZA PRIDOBITEV</t>
  </si>
  <si>
    <t>UPORABNEGA DOVOLJENJA.</t>
  </si>
  <si>
    <t>m.e.</t>
  </si>
  <si>
    <t>količina</t>
  </si>
  <si>
    <t>cena na enoto</t>
  </si>
  <si>
    <t>znesek</t>
  </si>
  <si>
    <t>1.</t>
  </si>
  <si>
    <t>pavšal</t>
  </si>
  <si>
    <t>2.</t>
  </si>
  <si>
    <t>Uradna zakoličba objekta, zavarovanje zakoličbe in vsa potrebna geodetska dela za celotno dobo gradnje in prenos vseh višin in osi.</t>
  </si>
  <si>
    <t>kpl</t>
  </si>
  <si>
    <t>3.</t>
  </si>
  <si>
    <t>Geomehanski pregled temeljnih tal pred izvedbo temeljenja in izdelava poročila.</t>
  </si>
  <si>
    <t>4.</t>
  </si>
  <si>
    <t>Skupaj pripravljalna dela:</t>
  </si>
  <si>
    <t>m3</t>
  </si>
  <si>
    <r>
      <t xml:space="preserve">Planiranje dna izkopa, v točnosti </t>
    </r>
    <r>
      <rPr>
        <sz val="10"/>
        <color rgb="FF000000"/>
        <rFont val="Arial"/>
        <family val="2"/>
        <charset val="238"/>
      </rPr>
      <t>±</t>
    </r>
    <r>
      <rPr>
        <sz val="10"/>
        <color rgb="FF000000"/>
        <rFont val="Arial CE"/>
        <charset val="238"/>
      </rPr>
      <t>2 cm vključno z utrjevanjem pred izvajanjem temeljenja</t>
    </r>
  </si>
  <si>
    <t>m2</t>
  </si>
  <si>
    <t>5.</t>
  </si>
  <si>
    <t>6.</t>
  </si>
  <si>
    <t>7.</t>
  </si>
  <si>
    <t>8.</t>
  </si>
  <si>
    <t>9.</t>
  </si>
  <si>
    <t>Nakladanje in odvoz viška izkopanega materiala na trajno deponijo s plačilom takse.</t>
  </si>
  <si>
    <t>Skupaj zemeljska dela:</t>
  </si>
  <si>
    <t>m1</t>
  </si>
  <si>
    <t>10.</t>
  </si>
  <si>
    <t>11.</t>
  </si>
  <si>
    <t>12.</t>
  </si>
  <si>
    <t>Izdelava opaža odprtin v AB konstrukcijah, s podpiranjem in razopaženjem. Količina ocenjena.</t>
  </si>
  <si>
    <t>kos</t>
  </si>
  <si>
    <t>Skupaj tesarska dela:</t>
  </si>
  <si>
    <t>Dobava, rezanje, krivljenje, vezanje in vgrajevanje srednje zahtevne armature, rebraste palice S500-RA, do vključno fi 12 mm</t>
  </si>
  <si>
    <t>kg</t>
  </si>
  <si>
    <t>Dobava, rezanje, krivljenje, vezanje in vgrajevanje srednje zahtevne armature, rebraste palice S500-RA, nad fi 12 mm</t>
  </si>
  <si>
    <t>Dobava, rezanje, krivljenje, vezanje in vgrajevanje srednje zahtevne armature,  S500-RA, armaturne mreže</t>
  </si>
  <si>
    <t>Skupaj betonska dela:</t>
  </si>
  <si>
    <t>kv delavec</t>
  </si>
  <si>
    <t>ur</t>
  </si>
  <si>
    <t>pk delavec</t>
  </si>
  <si>
    <t>Skupaj zidarska dela:</t>
  </si>
  <si>
    <t>Skupaj krovsko kleparska dela:</t>
  </si>
  <si>
    <t>Skupaj keramičarska dela:</t>
  </si>
  <si>
    <t>Skupaj slikopleskarska dela:</t>
  </si>
  <si>
    <t>Skupaj stavbno pohištvo:</t>
  </si>
  <si>
    <t>Izvedba vseh pripravljalnih del na podlagi organizacije gradbišča ter specifike izvajalca. V ceni zajeti predvsem gradbiščno tablo, opozorilne table, gredbiščni red, elektro gradbiščni priključek in razvod po gradbišču, gasilni aparat, gradbiščno ograjo, gradbiščna vrata, vodovodni priključek, stroški porabe energije, gradbiščni wc, gradbiščno barako, druge pomožne objekte, druga manjša pripravljalna dela, ureditev deponij, v ceni zajeti tudi odstranitev in vzdrževanje.</t>
  </si>
  <si>
    <t>1.1.</t>
  </si>
  <si>
    <t>1.2.</t>
  </si>
  <si>
    <t>6.1.</t>
  </si>
  <si>
    <t>7.1.</t>
  </si>
  <si>
    <t>6.2.</t>
  </si>
  <si>
    <t>7.2.</t>
  </si>
  <si>
    <t>6.3.</t>
  </si>
  <si>
    <t>1.1.1.</t>
  </si>
  <si>
    <t>1.1.2.</t>
  </si>
  <si>
    <t>1.3.</t>
  </si>
  <si>
    <t>1.4.</t>
  </si>
  <si>
    <t>6.4.</t>
  </si>
  <si>
    <t>6.5.</t>
  </si>
  <si>
    <t>MAVČNOKARTONSKA DELA</t>
  </si>
  <si>
    <t xml:space="preserve">C.  </t>
  </si>
  <si>
    <t>Skupaj mavčnokartonska dela:</t>
  </si>
  <si>
    <t>7.3.</t>
  </si>
  <si>
    <t>1.5.</t>
  </si>
  <si>
    <t>1.6.</t>
  </si>
  <si>
    <t>1.7.</t>
  </si>
  <si>
    <t>PARKIRIŠČE P+R ZLATO POLJE, KRANJ</t>
  </si>
  <si>
    <t>MESTNA OBČINA KRANJ</t>
  </si>
  <si>
    <t>Slovenski trg 1</t>
  </si>
  <si>
    <t>4000 Kranj</t>
  </si>
  <si>
    <t>Ljubljana, september 2020</t>
  </si>
  <si>
    <t>Izdelava meritev tampona z izdajo poročila. V ceni zajeti meritev pod temeljno ploščo in točkovnimi temelji.</t>
  </si>
  <si>
    <t xml:space="preserve">Široki izkop gradbene jame objekta v zemljini III.-IV. kategorije, globina izkopa do 1,5 m, z direktnim nakladanjem na prevozno sredstvo. </t>
  </si>
  <si>
    <t xml:space="preserve">Kombinirani izkop za točkovne temelje v zemljini III.-IV. kategorije, globina izkopa do 1,5 m, z direktnim nakladanjem na prevozno sredstvo. </t>
  </si>
  <si>
    <t>Dobava in vgradnja gramoznega materiala frakcije 0-32 mm pod temeljno ploščo in točkovnimi temelji. Z utrjevanjem po slojih do predpisane zbitosti 70 MN/m2.</t>
  </si>
  <si>
    <t>Izdelava opaža čela temeljne plošče višine 25+10 cm, s podpiranjem in razopaženjem.</t>
  </si>
  <si>
    <t>Izdelava opaža točkovnih temeljev 200x200 cm, višine 40 cm, s podpiranjem in razopaženjem.</t>
  </si>
  <si>
    <t>Izdelava opaža temeljnih nastavkov točkovnih temeljev 60x70 cm, višine 40 cm, s podpiranjem in razopaženjem.</t>
  </si>
  <si>
    <t>Izdelava dvostranskega opaža AB  zidov, višine do 450 cm in debeline 25 cm, s podpiranjem in razopaženjem. Kvaliteta vidnega betona VB2.</t>
  </si>
  <si>
    <t>Izdelava dvostranskega opaža AB  zidov, višine do 450 cm in debeline 20 cm, s podpiranjem in razopaženjem. Kvaliteta vidnega betona VB2. Vratne odprtine se ne odbijajo, opaž vratnih odprtin zajet v ceni.</t>
  </si>
  <si>
    <t>Postavitev premičnih odrov vseh višin za celotno dobo gradnje in za potrebe izvedbe vseh del.</t>
  </si>
  <si>
    <t>Dobava in vgrajevanje betona C12/15, podložni beton pod temeljno ploščo, v debelini 10 cm.</t>
  </si>
  <si>
    <t>Dobava in vgrajevanje betona C12/15, podložni beton pod točkovnimi temelji, v debelini 10 cm.</t>
  </si>
  <si>
    <t>Dobava in vgrajevanje betona C25/30, XC2, S4, v temeljno ploščo, prereza 0,25 m3/m2.</t>
  </si>
  <si>
    <t>Dobava in vgrajevanje betona C25/30, XC2, S4, v pete točkovnih temeljev, prereza 0,40 m3/m2.</t>
  </si>
  <si>
    <t>Dobava in vgrajevanje betona C25/30, XC2, S4, v nastavke točkovnih temeljev, prereza nad 0,20 m3/m2/m1.</t>
  </si>
  <si>
    <t>Dobava in vgrajevanje betona C30/37, XC4, XF3, XD1, S4, v AB zidove, prereza 0,25 m3/m2.</t>
  </si>
  <si>
    <t>Dobava in vgrajevanje betona C30/37, XC4, XF3, XD1, S4, v AB zidove, prereza 0,20 m3/m2.</t>
  </si>
  <si>
    <t>Dobava in polaganje toplotne izolacije pod temeljno ploščo, debeline 10 cm, kot npr. Fibran 400L Seismic.</t>
  </si>
  <si>
    <t>Dobava in lepljenje toplotne izolacije na hidroizolacijo na čelu temeljne plošče, debeline 15 cm, kot npr. Fibran 300L.</t>
  </si>
  <si>
    <t>Izdelava enoslojne horizontalne hidroizolacije nad temeljno ploščo iz varjenih bitumenskih trakov debeline 4 mm, polimer bitumenski varilni trakovi kot npr. SCUDOPLAST TNT 4, s predhodnim bitumenskim premazom in zidarsko pripravo podlage, na stikih AB konstrukcij upoštevati uporabo hidroizolacije na cementni osnovi. Z obdelavo vseh prebojev in stikov.</t>
  </si>
  <si>
    <t>Izdelava enoslojne vertikalne hidroizolacije čela temeljne plošče iz varjenih bitumenskih trakov debeline 4 mm, polimer bitumenski varilni trakovi kot npr. SCUDOPLAST TNT 4, s predhodnim bitumenskim premazom in zidarsko pripravo podlage. Z obdelavo vseh prebojev in stikov.</t>
  </si>
  <si>
    <t>Dobava in vgradnja čepaste folije.</t>
  </si>
  <si>
    <t>Izdelava celotne sestave tlaka T1: iz toplotne izolacije debeline 15 cm, v več slojih, z upasovanjem med cevmi instalacij, iz EPS 200; iz ločilnega sloja iz PE ekspandirane folije debeline 0,5 cm; iz mikroarmiranega cementnega estriha C20/25, debeline 6,4 cm, z robnimi trakovi, z dodatkom za talno ogravanje, z dodatno Q 133 armaturno mrežo.</t>
  </si>
  <si>
    <t>Izdelava celotne sestave tlaka T2: iz toplotne izolacije debeline 15 cm, v več slojih, z upasovanjem med cevmi instalacij, iz EPS 200; iz ločilnega sloja iz PE ekspandirane folije debeline 0,5 cm; iz betonskega tlaka, finalno obdelanega, debeline 8,0 cm, mikroarmiran in klasično armiran z armaturno mrežo Q335, C40/50, z vsemi dodatki za beton, s prilagojeno sestavo zrnatosti agregata in atitivi za plastificiranje in omejevanje krčenja betona po SIST ISO 13670 in projektu betona, ki ga izdela izvajalec, z robnimi trakovi, kontinuirano betoniranje, z nago betona, z rezanjem dilatacij, z izvedbo končne obdelave površine kot BRUŠEN beton po potrjenem vzorcu s strani arhitekta, s kitanjem dilatacij in stikov z zidovi, z izvedbo končne brezbarvne kvalitetne impregnacije površine.</t>
  </si>
  <si>
    <t>Zidarska obdelava betonskih sten po vgradnji kovinskih vrat V2, velikosti 90x240 cm, obojestransko, pred izvedbo končne obdelave betonskih površin, po potrjenem vzorcu s strani arhitekta.</t>
  </si>
  <si>
    <t>Finalna obdelava notranjih in zunanjih betonskih zidov z brušenjem stikov, obdelavo odprtin od opažnih juvidurk, z visokotlačnim peskanjem, čiščenjem in zaščitnim impregniranjem s hidrofobno zaščito, vse po potrjenem vzorcu s strani arhitekta.</t>
  </si>
  <si>
    <t>Vgradnja sidernih plošč kovinske konstrukcije v AB nastavke točkovnih temeljev, z natačnim določanjem osi in višine, brez dobave plošč.</t>
  </si>
  <si>
    <t>Sprotno in finalno čiščenje gradbišča in objekta pred predajo del. S čiščenjem stavbnega pohištva, opreme, keramike in ostalih elementov.</t>
  </si>
  <si>
    <t>Razna nepredvidena in manjša dela, pomoč obrtnikom in instalaterjem se obračunajo na podlagi naročila in potrditve s strani nadzora v gradbenem dnevniku.</t>
  </si>
  <si>
    <t>12.1.</t>
  </si>
  <si>
    <t>12.2.</t>
  </si>
  <si>
    <t>KLJUČAVNIČARSKA DELA</t>
  </si>
  <si>
    <t>Izdelava in montaža jeklene konstrukcije nadstrešnice iz osnovnih profilov HEA 400 in ostalimi kovinskimi elementi za pritrjevanje špirovcev, sidernih plošč v temeljih, spodnjega talnega pohodnega profila ter ostalimi elementi nadstrešnice. Z vsem pritrdilnim materialom. Vse vroče cinkano in prašno barvano po RALu po izboru arhitekta. Jeklo kvalitete S335 J0, pritrdilni material M8.8. V ceni zajeti izdelavo delavniških načrtov katere potrdita arhitekt in statik ter pridobitev potrdila o ustreznosti izvedene konstrukcije.</t>
  </si>
  <si>
    <t>Izdelava in montaža kovinskega nosilnega in robnega profila ravne strehe, preseka 110/110/8 mm, po celotnem obodu strehe. Z vsem pritrdilnim materialom. Vse vroče cinkano in prašno barvano po RALu po izboru arhitekta. Jeklo kvalitete S335 J0, pritrdilni material M8.8.</t>
  </si>
  <si>
    <t>Izdelava in montaža kovinske obloge fasadnega betonskega zidu za ozelenitev, iz armaturne mreže Q 424 in jeklenih nosilcev v osnem rastru 60 cm ter vsem pritrdilnim materialom, skladno z detajlem DET 6 in DET 7 ter ostalih načrtov. Vse vroče cinkano in prašno barvano po RALu po izboru arhitekta.</t>
  </si>
  <si>
    <t xml:space="preserve">Izdelava in montaža kovinskih ograj, po risbi št. 008 in detajli od DET1 - DET3. Ograje višine 110 cm, iz jeklenih palic, spodaj in zgoraj zvarjenih v tog okvir, vroče cinkana in prašno barvana po RALu po izboru arhitekta, iz osnovnih jeklenih ploščatih profilov 80/10 mm, iz vertikalnih palic 10/10 mm, katere se zamikajo +20/-20 mm od osi ograje, s pritrjevanjem po načrtu gradbenih konstrukcij, s pritrdilnim materialom: </t>
  </si>
  <si>
    <t>Ograja tip 1, pritrjena na vrhu podpornih zidov.</t>
  </si>
  <si>
    <t>Ograja tip 2, pritrjena na podporne zidove s strani.</t>
  </si>
  <si>
    <t>Ograja tip 3, stopniščna poševna ograja, pritrjena v nastopno ploskev.</t>
  </si>
  <si>
    <t>Ograja tip 4, stopniščna poševna ograja, pritrjena v stranski del stopnic.</t>
  </si>
  <si>
    <t>Ograja tip 5, stopniščna poševna ograja, izdelana iz osnovnega okvirja, brez vertikalnih palic 10x10 mm, pritrjena v AB zid ali v nastopno ploskev.</t>
  </si>
  <si>
    <t>Dobava in montaža žičnate ograje tip 6 kot npr. Živex, višine 125 cm, iz pletene mreže iz žice debeline 1,8/2,0 mm, okno 50x50 mm, jeklena žica zaščitena z nanosom cinka in plastificirana z UV zaščito sive barve, vključno s stebri, napenjalno žico, vsemi tipskimi pritrdilnimi elementi, z izvedbo točkovnih temeljev, po shemi ograje in detajlih.</t>
  </si>
  <si>
    <t>Skupaj ključavničarska dela:</t>
  </si>
  <si>
    <t>Izdelava in montaža lesenega ostrešja nadstrešnice iz špirovcev iz lepljenega lesa, prereza 10x30 cm in v osnem razmiku 50 cm, vijačeni v kovinske elemente zajete v ključavničarskih delih, vse vidna konstrukcija z obdelavo po navodilih arhitekta, les in ostali podatki po načrtu gradbenih konstrukcij, z vsem pritrdilnim materialom. Obračun po tlorisu brez dodatkov.</t>
  </si>
  <si>
    <t>Izdelava in pritrjevanje lesenih smrekovih plohov na leseni nadstrešnici, debeline 4 cm, les C24, s spodnje strani z izvedbo utorov po detajlu, s spodnje strani vse vidno obdelano, z osnovnim zaščitnim premazom in finalnim barvanjem, vse po potrjenem vzorcu s strani arhitekta ter z vsem pritrdilnim materialom.</t>
  </si>
  <si>
    <t xml:space="preserve">Izdelava enoslojne hidroizolacije ravne strehe iz hidroizolacije folije s protikoreninsko zaščito kot npr. Sikaplan G-18, z izvedbo podloge in vseh obdelav. </t>
  </si>
  <si>
    <t>Izdelava hidroizolacijskega zaključka na čelu in vrhu ravne strehe iz podložne pločevine za izvedbo čelnega zaključka kot npr. Sika pločevina in obdelava žlote s hidroizolacijsko folijo kot npr. Sikaplan G-18, po detajlih DET1.1., DET2, DET8.</t>
  </si>
  <si>
    <t>Izdelava hidroizolacijskega zaključka na stiku ravne strehe in AB zidov z obdelavo žlote s hidroizolacijsko folijo kot npr. Sikaplan G-18, po detajlu DET1.</t>
  </si>
  <si>
    <t>Izdelava in montaža jeklene perforirane pločevine med špirovci v osi B, nad AB zidov do strešne sestave, po detajlu DET 3, z zgornjim in spodnjim kotnikom za pritrjevanje in s pritrdilnim materialom. Vse vroče cinkano in prašno barvano po RALu po izboru arhitekta. Perforacija pločevine po potrjenem vzorcu s strani arhitekta.</t>
  </si>
  <si>
    <t>Izdelava in montaža jeklene perforirane pločevine med špirovci v osi A, nad AB zidov do strešne sestave, po detajlu DET 4, z zgornjim in spodnjim kotnikom za pritrjevanje in s pritrdilnim materialom. Vse vroče cinkano in prašno barvano po RALu po izboru arhitekta. Perforacija pločevine po potrjenem vzorcu s strani arhitekta.</t>
  </si>
  <si>
    <t xml:space="preserve">Izdelava zelene ravne strehe z ekstenzivno zazelenitvijo po sestavi ST1 po sistemu kot npr. URBANSCAPE ali enakovredno: iz Urbanscape protikoreninske membrane, iz Urbanscape drenažnega sloja, iz substrata Urbanscape Green Roll, iz vegetacijskega sloja Urbanscape Sedum-mix. Z vsemi potrebnimi deli in obdelavami. </t>
  </si>
  <si>
    <t>Izdelava in montaža kleparskih elementov iz jeklene, cinkane, barvane pločevine debeline 0,7 mm, v barvi po RALu po izboru arhitekta, z vsem pritrdilnim materialom, podložnimi pločevinami, kitanjem in ostalimi obdelavami:</t>
  </si>
  <si>
    <t>odkapna pločevina v kapu, r.š. 20 cm</t>
  </si>
  <si>
    <t>odtočna cevi fi 150 mm</t>
  </si>
  <si>
    <t>polkrožni žleb z iztokom in bočnimi zaključki</t>
  </si>
  <si>
    <t>7.4.</t>
  </si>
  <si>
    <t>čelne obrobe r.š. 25 cm po detajlu DET 1.1. in DET2</t>
  </si>
  <si>
    <t>7.5.</t>
  </si>
  <si>
    <t>zidna ali odkapna obroba, r.š. 20 cm po DET1</t>
  </si>
  <si>
    <t>kapa betonskih zidov, r.š. 50 cm, s podložno pločevino in nosilno desko po DET1</t>
  </si>
  <si>
    <t>7.6.</t>
  </si>
  <si>
    <t>Izdelava mavčnih oblog po sestavi ZS1b, debeline 17,5 cm in višine do 400 cm. Iz 2x mavčnih plošč debeline 1,25 cm kot npr. KNAUF DIAMANT, iz podkonstrukcije in toplotne izolacije 0,035 debeline 15 cm, iz parne zapore z lepljenimi stiki. Z izvedbo ojačitev, z izvedbo prebojev in obdelavo le teh, z bandažiranjem stikov in vgradnjo vogalnikov.</t>
  </si>
  <si>
    <t>Izdelava mavčnih sten po sestavi NS1, debeline 20 cm in višine do 400 cm. Iz 2x mavčnih plošč debeline 1,25 cm kot npr. KNAUF DIAMANT, iz podkonstrukcije in toplotne izolacije 0,035 debeline 15 cm, iz 2x mavčnih plošč debeline 1,25 cm kot npr. KNAUF DIAMANT. Z izvedbo ojačitev, z UA profili pri vratnih odprtinah, z izvedbo prebojev in obdelavo le teh, z bandažiranjem stikov in vgradnjo vogalnikov.</t>
  </si>
  <si>
    <t>Izdelava ravnih spuščenih stropov iz 2x  mavčne plošče debeline 1,25 cm kot npr. KNAUF DIAMANT, iz parne zapore z lepljenimi stiki, iz podkonstrukcije, iz toplotne izolacije debeline 5+20 cm, kot npr. Unifit 035. Z bandažiranjem stikov, vgradnjo vogalnikov, izvedbo izrezov, obdelavo prebojev, izvedbo ojačitev.</t>
  </si>
  <si>
    <t>Dobava in polaganje stenske keramike na notranjih površinah, po izboru arhitekta, kot npr. Ragno R1TW Unitech Bianco Diamantato, format 10x30 cm, na lepilo, s fugiranjem stikov (širina fug do 3 mm), vključno s kitanjem dilatacij in vogalov, s predhodnim premazom površine.</t>
  </si>
  <si>
    <t>Dobava in polaganje talne keramike na notranjih površinah, po izboru arhitekta, kot npr. Ragno, antracit, format 60x60 cm, ustrezne protizdrnosti za javne sanitarje, na lepilo za talno ogrevanje, s fugiranjem stikov (širina fug do 3 mm), vključno s kitanjem dilatacij in vogalov.</t>
  </si>
  <si>
    <t>Dobava in vgradnja tipske inox zaokrožnice na stiku stenske in talne keramike, po izboru arhitekta.</t>
  </si>
  <si>
    <t>Dobava in vgradnja inox talnega profila na stiku talne keramike in betonskega tlaka, po izboru arhitekta.</t>
  </si>
  <si>
    <t xml:space="preserve">Priprava podlage, gletanje, brušenje in 2x pleskanje mavčnih sten in stropov z mat latex barvo v tonu po izboru arhitekta, s kitanjem vseh vogalov in stikov. V ceni zajeti vse zaščite, kitanja z akrilcem na stiku s keramiko in drugje kjer je to potrebno. </t>
  </si>
  <si>
    <t>V1, vrata v sanitarje, velikosti 90x220 cm, iz Alu podboja, iz Alu vratnega krila, vse v barvi po RALu po izboru arhitekta, s tritočkovnimi tečaji, s prezračevalno rešetko, wc ključavnico, mat krom kljuko okroglega profila po izboru, s talnim gumijastim odbojnikom, z oznakami na vratih iz gravirane ploščice, na notranji strani inox obešalnik.</t>
  </si>
  <si>
    <t>V2, zamrežena vrata v kolesarnico in predprostor, velikosti 90x240 cm, iz Alu podboja s senčno fugo, iz Alu vratnega krila zamreženega z mrežo z odprtinami 2x2 cm, s tritočkovnimi tečaji, cilindrično ključavnico, mat krom kljuko okroglega profila po izboru, s talnim gumijastim odbojnikom, z oznakami na vratih iz gravirane ploščice.</t>
  </si>
  <si>
    <t>OPREMA</t>
  </si>
  <si>
    <t xml:space="preserve">Izdelava in montaža opreme, po shemah in detajlih: </t>
  </si>
  <si>
    <t>Izdelava in montaža Alu vrat, po shemah:</t>
  </si>
  <si>
    <t>Klopi iz konzolne AB plošče izdelane v vidnem betonu, prereza 43x10 cm, vijačene v AB zidove, AB plošče s spodnjim utorom 2x3 cm, iz kovinske podkonstrukcije iz vroče cinkanih in prašno barvanih profilov in iz lesenih desk za sedalo prereza 8x3 cm, les finalno obdelan, z nevidnim pritrjevanjem z inox pritrdilnim materialom, vse po potrjenem vzorcu s strani arhitekta:</t>
  </si>
  <si>
    <t>Klop 1, dolžine 147+500 = 647 cm</t>
  </si>
  <si>
    <t>Klop 2, dolžine 331+357 = 688 cm</t>
  </si>
  <si>
    <t>Klop 3, dolžine 168+392+376+466+329 = 1731 cm</t>
  </si>
  <si>
    <t>1.1.3.</t>
  </si>
  <si>
    <t>Iglice za zaščito proti golobom, iz PVC podstavka in inox iglic, s pritrjevanjem na AB zid.</t>
  </si>
  <si>
    <t>Skupaj oprema:</t>
  </si>
  <si>
    <t>DDV v višini 22 %</t>
  </si>
  <si>
    <t>Stojalo za popravilo koles. Kot npr. UNIOR kolesarska orodja Mantis standard.</t>
  </si>
  <si>
    <t>Naslon za kolo, dvostranski, velikosti 75x75 cm, kot npr. Eki Kranj, art. 100687.</t>
  </si>
  <si>
    <t>Koš za ločevanje odpadkov s pepelnikom, premer 50 cm, višine 90 cm, volumen 3x38 l, kot npr. Eki Kranj, art. 100491.</t>
  </si>
  <si>
    <t>Stojalo za kolesa, velikosti 150x40x27 cm, kot npr. Eki Kranj, art. 100818-3.</t>
  </si>
  <si>
    <t>Kolesarska garderobna omara, kovinska, 6x2 razdelka, dimenzije 180x180x50 cm, kot npr. ZAK, SUS W.</t>
  </si>
  <si>
    <t>V3, zamrežena dvojna vrata, dvokrilna, velikosti 170x215 cm, iz Alu podboja s senčno fugo, iz Alu vratnega krila zamreženega z mrežo z odprtinami 2x2 cm, s tritočkovnimi tečaji, cilindrično ključavnico, mat krom kljuko okroglega profila po izboru, s talnim gumijastim odbojnikom, z oznakami na vratih iz gravirane ploščice.</t>
  </si>
  <si>
    <t>Šifra</t>
  </si>
  <si>
    <t>Opis dela</t>
  </si>
  <si>
    <t>Znesek</t>
  </si>
  <si>
    <t>PREDDELA</t>
  </si>
  <si>
    <t>VOZIŠČNE KONSTRUKCIJE</t>
  </si>
  <si>
    <t>ODVODNJAVANJE</t>
  </si>
  <si>
    <t>GRADBENA IN OBRTNIŠKA DELA</t>
  </si>
  <si>
    <t>OPREMA CEST</t>
  </si>
  <si>
    <t>TUJE STORITVE</t>
  </si>
  <si>
    <t>SKUPAJ</t>
  </si>
  <si>
    <t>DDV 22%</t>
  </si>
  <si>
    <t>Kolicina</t>
  </si>
  <si>
    <t>Enota</t>
  </si>
  <si>
    <t>Cena na enoto mere</t>
  </si>
  <si>
    <t>1.1</t>
  </si>
  <si>
    <t>GEODETSKA DELA</t>
  </si>
  <si>
    <t>11 001</t>
  </si>
  <si>
    <t>Obnova in zavarovanje zakoličbe zunanje ureditve v ravninskem terenu (cca. 200 točk)</t>
  </si>
  <si>
    <t>ocena</t>
  </si>
  <si>
    <t>11 002</t>
  </si>
  <si>
    <t>Postavitev in zavarovanje prečnih profilov zunanje ureditve v ravninskem terenu</t>
  </si>
  <si>
    <t>GEODETSKA DELA -  SKUPAJ</t>
  </si>
  <si>
    <t>1.2</t>
  </si>
  <si>
    <t>ČIŠČENJE TERENA</t>
  </si>
  <si>
    <t>12 001</t>
  </si>
  <si>
    <t>Posek in odstranitev dreves z debli od 15 do 50 cm premera ter odstranitev vej</t>
  </si>
  <si>
    <t>12 002</t>
  </si>
  <si>
    <t>Posek in odstranitev dreves z debli do 15 cm premera ter odstranitev vej</t>
  </si>
  <si>
    <t>12 003</t>
  </si>
  <si>
    <t>Odstranitev panjev predhodno posekanih dreves z debli premera od 15 do 50 cm.</t>
  </si>
  <si>
    <t>12 004</t>
  </si>
  <si>
    <t>Odstranitev panjev predhodno posekanih dreves z debli premera do 15 cm.</t>
  </si>
  <si>
    <t>12 005</t>
  </si>
  <si>
    <t>Odstranitev vej predhodno posekanih dreves</t>
  </si>
  <si>
    <t>12 006</t>
  </si>
  <si>
    <t>Odstranitev vseh vrst grmovij vključno z odstranitvijo vej in panjev.</t>
  </si>
  <si>
    <t>12 007</t>
  </si>
  <si>
    <t>Rušenje vseh vrst asfaltnih vozišč in pločnikov, rušenje zgornjega obrabnozapornega sloja globine do 10 cm  z odvozom na deponijo do 5km</t>
  </si>
  <si>
    <t>12 008</t>
  </si>
  <si>
    <t>Rušenje obstoječe tlakovane poti, rušenje zgornjega obrabnozapornega sloja globine do 10 cm  z odvozom na deponijo do 5km</t>
  </si>
  <si>
    <t>12 009</t>
  </si>
  <si>
    <t>Rušitev obstoječih peščenih bankin globine do 10 cm z odvozom odvečnega materiala na deponijo do 5 km.</t>
  </si>
  <si>
    <t>12 010</t>
  </si>
  <si>
    <t>Rušenje vseh vrst vozišč - rezanje asfaltnega roba in naknadno čiščenjem odrezanih robov z izpihovalcem vročega zraka (200-600 oC, pritisk 3-9 bar).</t>
  </si>
  <si>
    <t>12 011</t>
  </si>
  <si>
    <t>Rušenje vseh vrst ograj z odvozom materiala na končno deponijo.</t>
  </si>
  <si>
    <t>12 012</t>
  </si>
  <si>
    <t>Rušenje vseh vrst robnikov z odvozom materiala na končno deponijo.</t>
  </si>
  <si>
    <t>ČIŠČENJE TERENA - SKUPAJ</t>
  </si>
  <si>
    <t>1.3</t>
  </si>
  <si>
    <t>OSTALA PRIPRAVLJALNA DELA</t>
  </si>
  <si>
    <t>13 001</t>
  </si>
  <si>
    <t>Priprava in organizacija gradbišča (postavljanje gradbiščnih kontejnerjev, staniratij, vpostavitev komunalnih in elektroenergetskih priključkov, izvedba zaščitnih ograj) skladno z načrtom organizacije gradbišča, vključno z izdelavo načrta ogranizacije gradbišča.</t>
  </si>
  <si>
    <t>13 002</t>
  </si>
  <si>
    <t>Izdelava tehnolško-ekonomskega elaborata.</t>
  </si>
  <si>
    <t>OSTALA PRIPRAVLJALNA DELA - SKUPAJ</t>
  </si>
  <si>
    <t>PREDDELA - SKUPAJ</t>
  </si>
  <si>
    <t>TUJE STORITVE SKUPAJ:</t>
  </si>
  <si>
    <t>Dobava, polaganje in priprava naravne, organske, nedrseče zastirke iz lubja, 30-60mm, debeline 6cm</t>
  </si>
  <si>
    <t>74 010</t>
  </si>
  <si>
    <t>Dobava in polaganje folije proti plevelu</t>
  </si>
  <si>
    <t>74 009</t>
  </si>
  <si>
    <t>Dobava in polaganje kokosove tkanine na brežinah (biorogoznice) za varovanje proti eroziji. 400G, natezna trdnost 200N, ojačana z nevidno mrežo. Pritrjena s kovinskimi sidrnimi zatiči v obliki črke U, pocinkano jeklo, dolžina 15 cm.</t>
  </si>
  <si>
    <t>74 008</t>
  </si>
  <si>
    <t>Drugo</t>
  </si>
  <si>
    <t>74 007</t>
  </si>
  <si>
    <t>74 006</t>
  </si>
  <si>
    <t>74 005</t>
  </si>
  <si>
    <t>74 004</t>
  </si>
  <si>
    <t>Sadike pokrovnih grmovnic</t>
  </si>
  <si>
    <t>Dobava, saditev, gnojilo, zastiranje, zalivanje (15 litrov/sadiko), oskrba</t>
  </si>
  <si>
    <t>74 003</t>
  </si>
  <si>
    <t>Priprava rastišča po DIN 18915 toč. 7.7.1 (mešanica kvalitetne zemlje, mivke (kremenčevega peska) in šote). Predvideva se izkop na že humuziranih površinah, zato je nerodovitnega materiala 50% volumna izkopa (10 cm globine)</t>
  </si>
  <si>
    <t>74 002</t>
  </si>
  <si>
    <t>Izkop sadilne luknje</t>
  </si>
  <si>
    <t>74 001</t>
  </si>
  <si>
    <t>Saditev pokrovnih grmovnic</t>
  </si>
  <si>
    <t>Dobava Acer ginnala 'Lienco' - mandžurski javor visokodebelno drevo, listopadno, kakovost 20/25, višina 400-500, sadika z ožičeno koreninsko balo, gojeno deblo na višini 200 cm in oblikovane ogrodne veje, 3x presajeno. Postavitev opore!</t>
  </si>
  <si>
    <t>73 010</t>
  </si>
  <si>
    <t>Dobava Liquidambar styraciflua - ambrovec visokoraslo, listopadno, končna velikost drevesa je 10-20 m, višina 350-400, širina 200-300, debelina debla 14-16cm, 3x presajeno. Postavitev opore!</t>
  </si>
  <si>
    <t>73 009</t>
  </si>
  <si>
    <t>Sadike dreves</t>
  </si>
  <si>
    <t xml:space="preserve">Dobava, saditev, gnojilo, izdelava zalivalne sklede, zastiranje, zalivanje (50 litrov/sadiko), oskrba  </t>
  </si>
  <si>
    <t>73 008</t>
  </si>
  <si>
    <t>Količki, impregnirani, premer 8 cm, dolžina 250 cm (3 na sadiko), povezava z impregniranimi  latami (polokroglicami), vezivo mora dovoljevati nihanje drevesa in slediti rasti v debelino</t>
  </si>
  <si>
    <t>73 007</t>
  </si>
  <si>
    <t>Priprava rastišča po DIN 18915 toč. 7.7.1 (mešanica kvalitetne zemlje, mivke (kremenčevega peska) in šote v globini 20 - 40 cm)</t>
  </si>
  <si>
    <t>73 006</t>
  </si>
  <si>
    <t>Izkop sadilne jame v velikosti 80x80x80 cm oz. 1.5 x premer bale (glej tehnično poročilo - pogoje saditve!) in sajenje po DIN 18916</t>
  </si>
  <si>
    <t>73 005</t>
  </si>
  <si>
    <t>Manjša drevesa</t>
  </si>
  <si>
    <t xml:space="preserve">Dobava, saditev, gnojilo, izdelava zalivalne sklede, zastiranje, zalivanje (70 litrov/sadiko), oskrba  </t>
  </si>
  <si>
    <t>73 004</t>
  </si>
  <si>
    <t>Količki, impregnirani, premer 10 cm, dolžina 250 cm (3 na sadiko), povezava z impregniranimi  latami (polokroglicami), vezivo mora dovoljevati nihanje drevesa in slediti rasti v debelino</t>
  </si>
  <si>
    <t>73 003</t>
  </si>
  <si>
    <t>73 002</t>
  </si>
  <si>
    <t>Izkop sadilne jame v velikosti 100x100x80 cm oz. 1.5 x premer bale (glej tehnično poročilo - pogoje saditve!) in sajenje po DIN 18916</t>
  </si>
  <si>
    <t>73 001</t>
  </si>
  <si>
    <t>Večja drevesa</t>
  </si>
  <si>
    <t>Saditev dreves</t>
  </si>
  <si>
    <t>ZASADITEV</t>
  </si>
  <si>
    <t>Upoštevano v načrtu arhitekture</t>
  </si>
  <si>
    <t>OPREMA ZUNANJE UREDITVE</t>
  </si>
  <si>
    <t>Izdelava PID dokumentacije vključno s posnetkom novega stanja.</t>
  </si>
  <si>
    <t>71 005</t>
  </si>
  <si>
    <t>Izdelava načrta betonov.</t>
  </si>
  <si>
    <t>71 004</t>
  </si>
  <si>
    <t>Geotehnični nadzor zemeljskih del in nadzor izvedbe voziščne konstrukcije.</t>
  </si>
  <si>
    <t>71 003</t>
  </si>
  <si>
    <t>Projektantski nadzor nad izvajanjem del.</t>
  </si>
  <si>
    <t>71 002</t>
  </si>
  <si>
    <t>SPLOŠNO</t>
  </si>
  <si>
    <t>OPREMA CEST - SKUPAJ</t>
  </si>
  <si>
    <t>OZNAČBE NA VOZIŠČU - SKUPAJ</t>
  </si>
  <si>
    <t>barvanje zapornih otokov na PM za invalide</t>
  </si>
  <si>
    <t>62 006</t>
  </si>
  <si>
    <t>barvanje simbolov za invalide (0,54m2/kos)</t>
  </si>
  <si>
    <t>62 005</t>
  </si>
  <si>
    <t>Izdelava tankoslojnih označb na vozišču z večkomponentno rumeno barvo  ročno, debelina debelina suhe snovi 250 um/m2, posip z odsevnimi steklenimi kroglicami 0,25 kg/m2.</t>
  </si>
  <si>
    <t>označba talnih smernih puščic (1,36 m2/kos)</t>
  </si>
  <si>
    <t>62 004</t>
  </si>
  <si>
    <t>označba prehodov za pešce</t>
  </si>
  <si>
    <t>62 003</t>
  </si>
  <si>
    <t>Izdelava tankoslojnih označb na vozišču z večkomponentno belo barvo  ročno, debelina debelina suhe snovi 250 um/m2, posip z odsevnimi steklenimi kroglicami 0,25 kg/m2.</t>
  </si>
  <si>
    <t>barvanje PM za invalide, širina črte 10 cm</t>
  </si>
  <si>
    <t xml:space="preserve">62 002 </t>
  </si>
  <si>
    <t>Izdelava tankoslojne označbe na vozišču z večkomponentno rumeno barvo - strojno,debelina plasti suhe snovi 250 um/m2, posip z odsevnimi steklenimi kroglicami 0,25 kg/m2.</t>
  </si>
  <si>
    <t>širina črte 10 cm</t>
  </si>
  <si>
    <t xml:space="preserve">62 001 </t>
  </si>
  <si>
    <t>Izdelava tankoslojne označbe na vozišču z večkomponentno belo barvo - strojno,debelina plasti suhe snovi 250 um/m2, posip z odsevnimi steklenimi kroglicami 0,25 kg/m2.</t>
  </si>
  <si>
    <t>OZNAČBE NA VOZIŠČU</t>
  </si>
  <si>
    <t>POKONČNA OPREMA CEST - SKUPAJ</t>
  </si>
  <si>
    <t>Stranica 600/600 mm</t>
  </si>
  <si>
    <t>62 008</t>
  </si>
  <si>
    <t>Stranica 600/500 mm</t>
  </si>
  <si>
    <t>62 007</t>
  </si>
  <si>
    <t>Stranica 600/300 mm</t>
  </si>
  <si>
    <t>Dobava in pritrditev kvadratnega prometnega znaka, podloga iz aluminijaste pločevine. Znak z odsevno HI folijo 2. Vrste.</t>
  </si>
  <si>
    <t>Premer 600 mm</t>
  </si>
  <si>
    <t>61 005</t>
  </si>
  <si>
    <t>Dobava in pritrditev okroglega prometnega znaka, podloga iz aluminijaste pločevine. Znak z odsevno HI folijo 1. Vrste.</t>
  </si>
  <si>
    <t>dolžina cevi 4150 mm</t>
  </si>
  <si>
    <t>dolžina cevi 3950 mm</t>
  </si>
  <si>
    <t>61 003</t>
  </si>
  <si>
    <t>dolžina cevi 3650 mm</t>
  </si>
  <si>
    <t>62 002</t>
  </si>
  <si>
    <t>Dobava in vgraditev stebriča za prometni znak iz vroče cinkane jeklene cevi fi51 mm, dolžine do 4550mm</t>
  </si>
  <si>
    <t>Izdelava temelja iz cementnega betona C16/20, dolžine 80 cm, fi 30 cm.</t>
  </si>
  <si>
    <t>61 001</t>
  </si>
  <si>
    <t>POKONČNA OPREMA CEST</t>
  </si>
  <si>
    <t>6.1</t>
  </si>
  <si>
    <t>GRADBENA IN OBRTNIŠKA DELA – SKUPAJ</t>
  </si>
  <si>
    <t>Izdelava temelja kamnite zložbe z betonom kvalitete C25/30 z vgrajevanjem v gradbeno jamo, vključno z postavljanjem kamnitih blokov na betonsko podlago, polnjenjem prostorov med kamni z betonom. Na spodnji strani temelja se v betonsko podlogo vgradi armaturna mreža R335 v dolžini 3 m. (razmerje kamen: beton 50:50), izvedba stene kamnite zložbe z betonom kvalitete C25/30 vključno z postavljanjem kamnitih blokov na betonsko podlago, polnjenjem prostorov med kamni z betonom. Na strani stene proti nasutju se vgradi armaturna mreža R335 v dolžini 6 m. (0,5 m mreže se zavije in je vgrajena v temelj) (razmerje kamen: beton 60:40). Postavka vključuje dobavo in vgradnjo betona, kamnitih blokov in armature v kompletu.</t>
  </si>
  <si>
    <t>59 301</t>
  </si>
  <si>
    <t>UTRDITEV BREŽINE - KAMNITA ZLOŽBA</t>
  </si>
  <si>
    <t>Izdelava barbakan iz cevi iz plastičnih mas
vgrajenih v AB zid Ø 2 cm</t>
  </si>
  <si>
    <t>59 217</t>
  </si>
  <si>
    <t>Izvedba navidezne dilatacije s trikotno letvijo - dvostransko, vključno z dobavo in vgradnjo letve.</t>
  </si>
  <si>
    <t>59 216</t>
  </si>
  <si>
    <t xml:space="preserve">Podprti dvostranski vezni opaž opornih zidov z opažnimi ploščami za viden beton, višine do 2,0 m, s pripravo, vsemi ploščami In transporti.   </t>
  </si>
  <si>
    <t>59 215</t>
  </si>
  <si>
    <t xml:space="preserve">Podprti dvostranski vezni opaž opornih zidov z opažnimi ploščami za neviden beton, višine do 2,0 m, s pripravo, vsemi ploščami In transporti.   </t>
  </si>
  <si>
    <t>59 214</t>
  </si>
  <si>
    <t>Podprt dvostranski opaž ravnega temelja zidu z opažnimi ploščami za neviden beton, (opaž po celi višini temeljev h= 50 cm), s pripravo, vsemi ploščami in transporti.</t>
  </si>
  <si>
    <t>59 213</t>
  </si>
  <si>
    <t>armature MAG</t>
  </si>
  <si>
    <t>59 212</t>
  </si>
  <si>
    <t>armature RA</t>
  </si>
  <si>
    <t>59 211</t>
  </si>
  <si>
    <t>Dobava, polaganje in vezanje srednje zahtevne armature.</t>
  </si>
  <si>
    <t>Betoniranje a.b. Zidov z betonom odpornim na zmrzovanje in tajanje v prisotnosti soli C30/37,XC4,XF4,Cl 0,2,Dmax32,S3,PV2, preseka 0,25 m3/m2, s pripravo in vsemi transporti.</t>
  </si>
  <si>
    <t>59 210</t>
  </si>
  <si>
    <t>Betoniranje a.b. temeljev zidov z betonom odpornim na zmrzovanje in tajanje C25/30,XC4,XF3,Cl 0,2,Dmax32,S4,PV1, preseka 0,40 m3/m2, s pripravo in vsemi transporti.</t>
  </si>
  <si>
    <t>59 209</t>
  </si>
  <si>
    <t xml:space="preserve">Betoniranje podložnega betona z C8/10,X0,Cl 0,1,Dmax16,S1, preseka 0,10 m3/m2, frakcije 0-16 mm, s pripravo in vsemi transporti. </t>
  </si>
  <si>
    <t>59 208</t>
  </si>
  <si>
    <t>Odvoz odvečnega materiala od izkopov na deponijo z nakladanjem in razgrinjanjem na deponiji. Deponija oddaljena do 10 km, ki jo izvajalec del pridobi sam (upoštevan faktor razrahljivosti izkopanega materiala f=1.40)</t>
  </si>
  <si>
    <t>59 207</t>
  </si>
  <si>
    <t>(upoštevano pri zemeljskih delih zunanje ureditve)</t>
  </si>
  <si>
    <t>Zasip temeljev z izkopanim materialom in komprimiranjem v slojih po 20 cm, pridobljenega iz predhodnega širokega izkopa, pripeljanega iz začasne deponije.</t>
  </si>
  <si>
    <t>59 206</t>
  </si>
  <si>
    <t>Izdelava blazine pod temeljem objekta v debelini do 10 cm in obsip temeljev do višine temelja iz drobljenca 0-32 .</t>
  </si>
  <si>
    <t>59 205</t>
  </si>
  <si>
    <t>Ureditev planuma temeljnih tal vezljive zemljine in zrnate kamnine – 3. kategorije.</t>
  </si>
  <si>
    <t>59 204</t>
  </si>
  <si>
    <t>c/  trda kamnina V-VII. kategorije cca. 10%</t>
  </si>
  <si>
    <t>59 203</t>
  </si>
  <si>
    <t>b/  mehka kamnina IV. kategorije cca. 20%</t>
  </si>
  <si>
    <t>59 202</t>
  </si>
  <si>
    <t>a/  zemljina III. kategorije cca. 70%</t>
  </si>
  <si>
    <t>59 201</t>
  </si>
  <si>
    <t>a+b+c = skupni izkop:</t>
  </si>
  <si>
    <t>Izkop za temelje – strojno, planiranje dna ročno.</t>
  </si>
  <si>
    <t>AB ZID 9</t>
  </si>
  <si>
    <t>59 117</t>
  </si>
  <si>
    <t>59 116</t>
  </si>
  <si>
    <t xml:space="preserve">Podprti dvostranski vezni opaž opornih zidov z opažnimi ploščami za viden beton, višine do 5,5 m, s pripravo, vsemi ploščami In transporti.   </t>
  </si>
  <si>
    <t>59 115</t>
  </si>
  <si>
    <t xml:space="preserve">Podprti dvostranski vezni opaž opornih zidov z opažnimi ploščami za neviden beton, višine do 5,5 m, s pripravo, vsemi ploščami In transporti.   </t>
  </si>
  <si>
    <t>59 114</t>
  </si>
  <si>
    <t>59 113</t>
  </si>
  <si>
    <t>59 112</t>
  </si>
  <si>
    <t>59 111</t>
  </si>
  <si>
    <t>Betoniranje a.b. Zidov z betonom odpornim na zmrzovanje in tajanje v prisotnosti soli C30/37,XC4,XF4,Cl 0,2,Dmax32,S3,PV2, preseka 0,25-0,30 m3/m2, s pripravo in vsemi transporti.</t>
  </si>
  <si>
    <t>59 110</t>
  </si>
  <si>
    <t>59 109</t>
  </si>
  <si>
    <t>59 108</t>
  </si>
  <si>
    <t>59 107</t>
  </si>
  <si>
    <t>59 106</t>
  </si>
  <si>
    <t>59 105</t>
  </si>
  <si>
    <t>59 104</t>
  </si>
  <si>
    <t>59 103</t>
  </si>
  <si>
    <t>59 102</t>
  </si>
  <si>
    <t>59 101</t>
  </si>
  <si>
    <t>AB ZID 8</t>
  </si>
  <si>
    <t>59 018</t>
  </si>
  <si>
    <t>59 019</t>
  </si>
  <si>
    <t xml:space="preserve">Podprti ravni opaž betonskih plošč debeline 20 cm z opažnimi ploščami za viden beton, podpiranje višine do 2,5 m, s pripravo, vsemi ploščami In transporti.   </t>
  </si>
  <si>
    <t xml:space="preserve">Vezni opaž elementov stopnic  z opažnimi ploščami za viden beton, višine do 0,2 m, s pripravo, vsemi ploščami In transporti.   </t>
  </si>
  <si>
    <t>59 017</t>
  </si>
  <si>
    <t xml:space="preserve">Podprti dvostranski vezni opaž opornih zidov z opažnimi ploščami za viden beton, višine do 2,5 m, s pripravo, vsemi ploščami In transporti.   </t>
  </si>
  <si>
    <t>59 016</t>
  </si>
  <si>
    <t xml:space="preserve">Podprti dvostranski vezni opaž opornih zidov z opažnimi ploščami za neviden beton, višine do 2,5 m, s pripravo, vsemi ploščami In transporti.   </t>
  </si>
  <si>
    <t>59 015</t>
  </si>
  <si>
    <t>Podprt dvostranski opaž ravnega temelja zidu z opažnimi ploščami za neviden beton, (opaž po celi višini temeljev h= 40 cm), s pripravo, vsemi ploščami in transporti.</t>
  </si>
  <si>
    <t>59 014</t>
  </si>
  <si>
    <t>59 013</t>
  </si>
  <si>
    <t>59 012</t>
  </si>
  <si>
    <t xml:space="preserve">Betoniranje a.b. Zidov in stopnic z betonom odpornim na zmrzovanje in tajanje v prisotnosti soli C30/37,XC4,XF4,Cl 0,2,Dmax32,S3,PV2, preseka 0,25-0,30 m3/m2, s pripravo in vsemi transporti, vključno z dobavo, transportom, izvedbo dilatacij, obdelavo izolacijskih stikov ob objektu in metlanjem finalnih pohodnih površine za dosego hrapavosti 7-9 μm. </t>
  </si>
  <si>
    <t>59 011</t>
  </si>
  <si>
    <t xml:space="preserve">Betoniranje a.b. plošč z betonom odpornim na zmrzovanje in tajanje C25/30,XC4,XF3,Cl 0,2,Dmax32,S4,PV1, preseka 0,20 m3/m2, s pripravo in vsemi transportivključno z dobavo, transportom, izvedbo dilatacij, obdelavo izolacijskih stikov ob objektu in metlanjem finalnih pohodnih površine za dosego hrapavosti 7-9 μm. </t>
  </si>
  <si>
    <t>59 010</t>
  </si>
  <si>
    <t>Betoniranje a.b. temeljev zidov, in stopnic z betonom odpornim na zmrzovanje in tajanje C25/30,XC4,XF3,Cl 0,2,Dmax32,S4,PV1, preseka 0,40 m3/m2, s pripravo in vsemi transporti.</t>
  </si>
  <si>
    <t>59 009</t>
  </si>
  <si>
    <t>59 008</t>
  </si>
  <si>
    <t>59 007</t>
  </si>
  <si>
    <t>59 006</t>
  </si>
  <si>
    <t>59 005</t>
  </si>
  <si>
    <t>59 004</t>
  </si>
  <si>
    <t>59 003</t>
  </si>
  <si>
    <t>59 002</t>
  </si>
  <si>
    <t>59 001</t>
  </si>
  <si>
    <t>AB STOPNICE Z ZIDOM 7</t>
  </si>
  <si>
    <t>58 017</t>
  </si>
  <si>
    <t>58 016</t>
  </si>
  <si>
    <t xml:space="preserve">Podprti dvostranski vezni opaž opornih zidov z opažnimi ploščami za viden beton, višine do 1,5 m, s pripravo, vsemi ploščami In transporti.   </t>
  </si>
  <si>
    <t>58 015</t>
  </si>
  <si>
    <t xml:space="preserve">Podprti dvostranski vezni opaž opornih zidov z opažnimi ploščami za neviden beton, višine do 1,5 m, s pripravo, vsemi ploščami In transporti.   </t>
  </si>
  <si>
    <t>58 014</t>
  </si>
  <si>
    <t>58 013</t>
  </si>
  <si>
    <t>58 012</t>
  </si>
  <si>
    <t>58 011</t>
  </si>
  <si>
    <t>Betoniranje a.b. Zidov z betonom odpornim na zmrzovanje in tajanje v prisotnosti soli C30/37,XC4,XF4,Cl 0,2,Dmax32,S3,PV2, preseka 0,20 m3/m2, s pripravo in vsemi transporti.</t>
  </si>
  <si>
    <t>58 010</t>
  </si>
  <si>
    <t>58 009</t>
  </si>
  <si>
    <t>58 008</t>
  </si>
  <si>
    <t>58 007</t>
  </si>
  <si>
    <t>58 006</t>
  </si>
  <si>
    <t>58 005</t>
  </si>
  <si>
    <t>58 004</t>
  </si>
  <si>
    <t>58 003</t>
  </si>
  <si>
    <t>58 002</t>
  </si>
  <si>
    <t>58 001</t>
  </si>
  <si>
    <t>AB ZID 6</t>
  </si>
  <si>
    <t>57 016</t>
  </si>
  <si>
    <t>57 015</t>
  </si>
  <si>
    <t>57 014</t>
  </si>
  <si>
    <t>57 013</t>
  </si>
  <si>
    <t>57 012</t>
  </si>
  <si>
    <t>57 011</t>
  </si>
  <si>
    <t>57 010</t>
  </si>
  <si>
    <t>57 009</t>
  </si>
  <si>
    <t>57 008</t>
  </si>
  <si>
    <t>57 007</t>
  </si>
  <si>
    <t>57 006</t>
  </si>
  <si>
    <t>57 005</t>
  </si>
  <si>
    <t>57 004</t>
  </si>
  <si>
    <t>57 003</t>
  </si>
  <si>
    <t>57 002</t>
  </si>
  <si>
    <t>57 001</t>
  </si>
  <si>
    <t>AB ZID 5</t>
  </si>
  <si>
    <t>56 016</t>
  </si>
  <si>
    <t>56 015</t>
  </si>
  <si>
    <t>56 014</t>
  </si>
  <si>
    <t>56 013</t>
  </si>
  <si>
    <t>56 012</t>
  </si>
  <si>
    <t>56 011</t>
  </si>
  <si>
    <t>56 010</t>
  </si>
  <si>
    <t>56 009</t>
  </si>
  <si>
    <t>56 008</t>
  </si>
  <si>
    <t>56 007</t>
  </si>
  <si>
    <t>56 006</t>
  </si>
  <si>
    <t>56 005</t>
  </si>
  <si>
    <t>56 004</t>
  </si>
  <si>
    <t>56 003</t>
  </si>
  <si>
    <t>56 002</t>
  </si>
  <si>
    <t>56 001</t>
  </si>
  <si>
    <t>AB ZID 4</t>
  </si>
  <si>
    <t>55 016</t>
  </si>
  <si>
    <t>55 015</t>
  </si>
  <si>
    <t xml:space="preserve">Podprti dvostranski vezni opaž opornih zidov z opažnimi ploščami za viden beton, višine do 1,0 m, s pripravo, vsemi ploščami In transporti.   </t>
  </si>
  <si>
    <t>55 014</t>
  </si>
  <si>
    <t>55 013</t>
  </si>
  <si>
    <t>55 012</t>
  </si>
  <si>
    <t>55 011</t>
  </si>
  <si>
    <t>55 010</t>
  </si>
  <si>
    <t>55 009</t>
  </si>
  <si>
    <t>55 008</t>
  </si>
  <si>
    <t>55 007</t>
  </si>
  <si>
    <t>55 006</t>
  </si>
  <si>
    <t>55 005</t>
  </si>
  <si>
    <t>55 004</t>
  </si>
  <si>
    <t>55 003</t>
  </si>
  <si>
    <t>55 002</t>
  </si>
  <si>
    <t>55 001</t>
  </si>
  <si>
    <t>AB ZID 3</t>
  </si>
  <si>
    <t>54 017</t>
  </si>
  <si>
    <t>54 016</t>
  </si>
  <si>
    <t xml:space="preserve">Podprti dvostranski vezni opaž opornih zidov z opažnimi ploščami za viden beton, višine do 3,0 m, s pripravo, vsemi ploščami In transporti.   </t>
  </si>
  <si>
    <t>54 015</t>
  </si>
  <si>
    <t xml:space="preserve">Podprti dvostranski vezni opaž opornih zidov z opažnimi ploščami za neviden beton, višine do 3,0 m, s pripravo, vsemi ploščami In transporti.   </t>
  </si>
  <si>
    <t>54 014</t>
  </si>
  <si>
    <t>54 013</t>
  </si>
  <si>
    <t>54 012</t>
  </si>
  <si>
    <t>54 011</t>
  </si>
  <si>
    <t>54 010</t>
  </si>
  <si>
    <t>54 009</t>
  </si>
  <si>
    <t>54 008</t>
  </si>
  <si>
    <t>54 007</t>
  </si>
  <si>
    <t>54 006</t>
  </si>
  <si>
    <t>54 005</t>
  </si>
  <si>
    <t>54 004</t>
  </si>
  <si>
    <t>54 003</t>
  </si>
  <si>
    <t>54 002</t>
  </si>
  <si>
    <t>54 001</t>
  </si>
  <si>
    <t>AB ZID 2</t>
  </si>
  <si>
    <t>53 021</t>
  </si>
  <si>
    <t>53 020</t>
  </si>
  <si>
    <t xml:space="preserve">Podprti poševni opaž betonskih plošč debeline 20 cm z opažnimi ploščami za viden beton, podpiranje višine do 4,5 m, s pripravo, vsemi ploščami In transporti.   </t>
  </si>
  <si>
    <t>53 019</t>
  </si>
  <si>
    <t xml:space="preserve">Podprti ravni opaž betonskih plošč debeline 20 cm z opažnimi ploščami za viden beton, podpiranje višine do 4,5 m, s pripravo, vsemi ploščami In transporti.   </t>
  </si>
  <si>
    <t>53 018</t>
  </si>
  <si>
    <t>53 017</t>
  </si>
  <si>
    <t xml:space="preserve">Podprti dvostranski vezni opaž opornih zidov z opažnimi ploščami za viden beton, višine do 4,5 m, s pripravo, vsemi ploščami In transporti.   </t>
  </si>
  <si>
    <t>53 016</t>
  </si>
  <si>
    <t xml:space="preserve">Podprti dvostranski vezni opaž opornih zidov z opažnimi ploščami za neviden beton, višine do 4,5 m, s pripravo, vsemi ploščami In transporti.   </t>
  </si>
  <si>
    <t>53 015</t>
  </si>
  <si>
    <t>53 014</t>
  </si>
  <si>
    <t>53 013</t>
  </si>
  <si>
    <t>53 012</t>
  </si>
  <si>
    <t>53 011</t>
  </si>
  <si>
    <t>53 010</t>
  </si>
  <si>
    <t>53 009</t>
  </si>
  <si>
    <t>53 008</t>
  </si>
  <si>
    <t>53 007</t>
  </si>
  <si>
    <t>53 006</t>
  </si>
  <si>
    <t>53 005</t>
  </si>
  <si>
    <t>53 004</t>
  </si>
  <si>
    <t>53 003</t>
  </si>
  <si>
    <t>53 002</t>
  </si>
  <si>
    <t>53 001</t>
  </si>
  <si>
    <t>AB STOPNICE Z ZIDOM 1</t>
  </si>
  <si>
    <t>Dobava in polaganje betonskih plošč dim. 40/40 cm na že prej pripravljeno peščeno podlago.</t>
  </si>
  <si>
    <t>52 008</t>
  </si>
  <si>
    <t>Dobava in vgradnja prefabriciranih betonskih travnih plošč vključno s travno rušo in polnilom (substrat) deb. 15 cm na že prej pripravljeno tamponsko podlago. (TP1)</t>
  </si>
  <si>
    <t>52 007</t>
  </si>
  <si>
    <t>Dobava in vgradnja finalne plasti proda debeline 10 cm, frakcije D32 na že prej pripravljeno tamponsko podlago. (PR1)</t>
  </si>
  <si>
    <t>52 006</t>
  </si>
  <si>
    <t>52 005</t>
  </si>
  <si>
    <t>armature RA (ojačitve na izpostavljenih delih)</t>
  </si>
  <si>
    <t>52 004</t>
  </si>
  <si>
    <t>Dobava, polaganje in vezanje srednje zahtevne armature. (B1)</t>
  </si>
  <si>
    <t>Izdelava betonskih pohodnih površin z vlivanjem klasično armiranega betona C20/25, frakcije 0-16 mm, preseka 0,20 m3/m2, odmik armature min. 4,5 cm od površine, na že prej pripravljeno tamponsko podlago vključno z dobavo, transportom, izvedbo dilatacij, obdelavo izolacijskih stikov ob objektu in štokanjem, peskanje in grobim brušenjem  za dosego hrapavosti 7-9 μm. (B1)</t>
  </si>
  <si>
    <t>52 003</t>
  </si>
  <si>
    <t>Dobava in vgradnja ločilnega sloja PES filca 300g/m2 filca. (PR1)</t>
  </si>
  <si>
    <t>52 002</t>
  </si>
  <si>
    <t>Dobava in polaganje dvoslojne PE gradbene folije (deb. 0,15 mm) s preklopi min 25 cm. (B1)</t>
  </si>
  <si>
    <t>52 001</t>
  </si>
  <si>
    <t>FINALNI USTROJI POVRŠIN</t>
  </si>
  <si>
    <t>51 002</t>
  </si>
  <si>
    <t>Kompletna izdelava, dobava in vgradnja cestne odbojne ograja z držalom za pešce na opornem zidu:
- svetla višina vidnih delov ograje: 110 cm,
- ravna ograja v naklonu parkirišča,
- jekleni profili,
- protikorozijska zaščita: vroče cinkanje,
- vključno barvanje v barvi po izboru arhitekta,
- montaža/vijašenje na za to pripravljene sidrane plošče v betonskem zidu,
- izdelava po detajlu in navodilih arhitekta.
Obračun po tlorisni dolžini ograje.</t>
  </si>
  <si>
    <t>51 001</t>
  </si>
  <si>
    <t>VRATA IN OGRAJE</t>
  </si>
  <si>
    <t>Izdelava kamnite zložbe višine 30 cm kot utrditev brežine ob peš poti iz skal in betona C25/30 v razmerju 70:30, vključno z dobavo in vgradnjo betona in skal, vsemi transporti in pomožnimi deli.</t>
  </si>
  <si>
    <t>50 002</t>
  </si>
  <si>
    <r>
      <t xml:space="preserve">Izdelava dilatacije na mestu rezanja asfaltnih površin med novim  in obstoječim obrabno – zapornim slojem, ki se jo izvede z vtisom dilatacijske fuge širine 1 cm, globine do 2 cm. Po dokončni utrditvi z vibracijskim valjarjem, se fuga zalije s trajno elastično maso segreto na 170 </t>
    </r>
    <r>
      <rPr>
        <vertAlign val="superscript"/>
        <sz val="10"/>
        <rFont val="Calibri"/>
        <family val="2"/>
        <charset val="238"/>
        <scheme val="minor"/>
      </rPr>
      <t>o</t>
    </r>
    <r>
      <rPr>
        <sz val="10"/>
        <rFont val="Calibri"/>
        <family val="2"/>
        <charset val="238"/>
        <scheme val="minor"/>
      </rPr>
      <t>C in zgladi z drsno smučko. V primeru, da se takoj za tem sprosti promet, se zalivno maso na dilatacijo posipa še s PVC drobljencem ali kamnito moko.</t>
    </r>
  </si>
  <si>
    <t>50 001</t>
  </si>
  <si>
    <t>VOŽIŠČNE KONSTRUKCIJE - SKUPAJ</t>
  </si>
  <si>
    <t>BANKINE - SKUPAJ</t>
  </si>
  <si>
    <t>3.4</t>
  </si>
  <si>
    <t>34 001</t>
  </si>
  <si>
    <t>BANKINE</t>
  </si>
  <si>
    <t xml:space="preserve">ROBNI ELEMENTI - SKUPAJ </t>
  </si>
  <si>
    <t>3.3</t>
  </si>
  <si>
    <t xml:space="preserve">Izvedba pasovnega temelja za ograjo ob pešpoti na južni strani ureditve, z izkopom, pripravo podložnega betona, opaženjem, vezenjem armature in betoniranje z betonom odpornim na zmrzovanje in tajanje v prisotnosti soli C30/37,XC4,XF4,Cl 0,2,Dmax32,S3,PV2, preseka 0,10 m2/m1, s pripravo in vsemi transporti. </t>
  </si>
  <si>
    <t>33 106</t>
  </si>
  <si>
    <t>Vgraditev prefabriciranih vrtnih robnikov dim. 5/20/10 cm na koncu pločnika.</t>
  </si>
  <si>
    <t>33 105</t>
  </si>
  <si>
    <t>Vgraditev predfabriciranih vtopljenih betonskih robnikov s prerezom 10/25/100 cm</t>
  </si>
  <si>
    <t>33 104</t>
  </si>
  <si>
    <t>Vgraditev predfabriciranih zvrnjenih betonskih robnikov s prerezom 15/25/100 cm</t>
  </si>
  <si>
    <t>33 103</t>
  </si>
  <si>
    <t>Vgraditev predfabriciranih pogreznjenih betonskih robnikov s prerezom 15/25/100 cm</t>
  </si>
  <si>
    <t>33 102</t>
  </si>
  <si>
    <t>Vgraditev predfabriciranih dvignjenih betonskih robnikov  s prerezom 15/25 cm</t>
  </si>
  <si>
    <t>33 101</t>
  </si>
  <si>
    <t>ROBNIKI</t>
  </si>
  <si>
    <t>3.3.1</t>
  </si>
  <si>
    <t>ROBNI ELEMENTI VOZIŠČ</t>
  </si>
  <si>
    <t>OBRABNE IN ZAPORNE PLAST - SKUPAJ</t>
  </si>
  <si>
    <t>3.2</t>
  </si>
  <si>
    <t>Izdelava mulde širine 50 cm, globine 5 cm na vezani obrabni in zaporni plasti.</t>
  </si>
  <si>
    <t>32 203</t>
  </si>
  <si>
    <t>32 202</t>
  </si>
  <si>
    <t>32 201</t>
  </si>
  <si>
    <t>VEZANE OBRABNE IN ZAPORNE PLASTI</t>
  </si>
  <si>
    <t>3.2.2</t>
  </si>
  <si>
    <t>OBRABNE IN ZAPORNE PLASTI</t>
  </si>
  <si>
    <t>NOSILNE PLASTI  - SKUPAJ</t>
  </si>
  <si>
    <t>3.1.</t>
  </si>
  <si>
    <t>31 201</t>
  </si>
  <si>
    <t>VEZANE ZGORNJE NOSILNE PLASTI</t>
  </si>
  <si>
    <t>3.1.2</t>
  </si>
  <si>
    <t>Izdelava izravnalne plasti mešanice substrata (kompost) in drobljenca 0-16 v povprečni debelini do 5 cm s točnostjo +/-1cn (priprava za polaganje travnih plošč: TP1).</t>
  </si>
  <si>
    <t>31 107</t>
  </si>
  <si>
    <t>Izdelava izravnalne plasti iz drobljenca 0-16 v povprečni debelini do 5 cm s točnostjo +/- 1cm (priprava za polaganje finalnih ustrojev: A1, A2, B1, BP1).</t>
  </si>
  <si>
    <t>31 106</t>
  </si>
  <si>
    <t>Izdelava nevezane nosilne plasti enakomerno zrnatega drobljenca TD32 iz kamnine v deb. 35 cm (B1)</t>
  </si>
  <si>
    <t>31 105</t>
  </si>
  <si>
    <t>31 104</t>
  </si>
  <si>
    <t>Izdelava nevezane nosilne plasti enakomerno zrnatega drobljenca TD32 iz kamnine v deb. 25 cm (TP1)</t>
  </si>
  <si>
    <t>31 103</t>
  </si>
  <si>
    <t>Izdelava nevezane nosilne plasti enakomerno zrnatega drobljenca TD16 iz kamnine v deb. 20 cm (BP1)</t>
  </si>
  <si>
    <t>31 102</t>
  </si>
  <si>
    <t>31 101</t>
  </si>
  <si>
    <t xml:space="preserve"> NEVEZANE NOSILNE PLASTI</t>
  </si>
  <si>
    <t>3.1.1</t>
  </si>
  <si>
    <t>NOSILNE PLASTI</t>
  </si>
  <si>
    <t>3.1</t>
  </si>
  <si>
    <t>VOŽIŠČNE KONSTRUKCIJE</t>
  </si>
  <si>
    <t>ZEMELJSKA DELA - SKUPAJ</t>
  </si>
  <si>
    <t>2</t>
  </si>
  <si>
    <t>RAZPROSTIRANJE ODVEČNEGA MATERIALA - SKUPAJ</t>
  </si>
  <si>
    <t>2.6</t>
  </si>
  <si>
    <t>Razprostriranje odvečne trde kamnine (upoštevan faktor razrahljivosti izkopanega materiala f=1.40)</t>
  </si>
  <si>
    <t>26 003</t>
  </si>
  <si>
    <t>Razprostriranje odvečne mehke kamnine (upoštevan faktor razrahljivosti izkopanega materiala f=1.40)</t>
  </si>
  <si>
    <t>26 002</t>
  </si>
  <si>
    <t>Razprostriranje odvečne plodne zemljine (upoštevan faktor razrahljivosti izkopanega materiala f=1.40)</t>
  </si>
  <si>
    <t>26 001</t>
  </si>
  <si>
    <t>RAZPROSTIRANJE ODVEČNEGA MATERIALA</t>
  </si>
  <si>
    <t>BREŽINE IN ZELENICE - SKUPAJ</t>
  </si>
  <si>
    <t>2.5</t>
  </si>
  <si>
    <t>Dobava in polaganje travne ruše debeline 5 cm, vključno z zalivanjem in vzdrževanjem do treh mesecev po sejanju.</t>
  </si>
  <si>
    <t>25 002</t>
  </si>
  <si>
    <t>Humuziranje brežin brez valjanja ter zasaditev trave , vključno z zalivanjem in vzdrževanjem do treh mesecev po sejanju</t>
  </si>
  <si>
    <t>25 001</t>
  </si>
  <si>
    <t>BREŽINE IN ZELENICE</t>
  </si>
  <si>
    <t>NASIPI,  ZASIPI  IN POSTELJICA - SKUPAJ</t>
  </si>
  <si>
    <t>2.4</t>
  </si>
  <si>
    <t>Vgrajevanje sloja substrata sadik novih dreves v debelini 100 cm z dobavo in transportom do 10 km.</t>
  </si>
  <si>
    <t>25 006</t>
  </si>
  <si>
    <t>Vgrajevanje sloja rodovitne rjave zemlje pod travno rušo v debelini 20 cm z dobavo in transportom do 10 km.</t>
  </si>
  <si>
    <t>25 005</t>
  </si>
  <si>
    <t>Ureditev planuma posteljice iz zrnate kamnine – III. kategorije. (A1)</t>
  </si>
  <si>
    <t>24 004</t>
  </si>
  <si>
    <t>Vgraditev posteljice NKM 64 v debelini plasti do 50 cm iz zrnate kamnine – III. kategorije, v debelini predpisani s strani geomehanika v popisu predvideno 50 cm s transportom do 10 km. (A1, TP1)</t>
  </si>
  <si>
    <t>24 003</t>
  </si>
  <si>
    <t>Izdelava nasipa iz zrnate kamnine – III. kategorije frakcije 0-64 z dobavo iz kamnoloma in transportom do 10 km.</t>
  </si>
  <si>
    <t>24 002</t>
  </si>
  <si>
    <t>Vgrajevanje nasipov iz naravno pridobljene vezljive zemljine in zrnate kamnine III. Ktg. in komprimiranjem v slojih po 20 cm. Pripeljano iz začasne deponije.</t>
  </si>
  <si>
    <t>24 001</t>
  </si>
  <si>
    <t>NASIPI,  ZASIPI  IN POSTELJICA</t>
  </si>
  <si>
    <t>PLANUM TEMELJNIH TAL - SKUPAJ</t>
  </si>
  <si>
    <t>2.2</t>
  </si>
  <si>
    <t>Ureditev planuma temeljnih tal trde kamnine – V. kategorije.</t>
  </si>
  <si>
    <t>22 003</t>
  </si>
  <si>
    <t>Ureditev planuma temeljnih tal trde kamnine – IV. kategorije.</t>
  </si>
  <si>
    <t>22 002</t>
  </si>
  <si>
    <t>Ureditev planuma temeljnih tal vezljive zemljine in zrnate kamnine – III. kategorije.</t>
  </si>
  <si>
    <t>22 001</t>
  </si>
  <si>
    <t>PLANUM TEMELJNIH TAL</t>
  </si>
  <si>
    <t>IZKOPI - SKUPAJ</t>
  </si>
  <si>
    <t>2.1</t>
  </si>
  <si>
    <t>Široki izkop trde kamnine V-VII. ktg. S transportom do 10 km na stalno deponijo.</t>
  </si>
  <si>
    <t>21 005</t>
  </si>
  <si>
    <t>Široki izkop mehke kamnine IV. ktg. S transportom do 10 km na stalno deponijo.</t>
  </si>
  <si>
    <t>21 004</t>
  </si>
  <si>
    <t>Široki izkop vezljive zemljine in zrnate kamnine III. ktg. z odrivom</t>
  </si>
  <si>
    <t>21 003</t>
  </si>
  <si>
    <t>Površinski izkop plodne zemlje (humusa) v deb. 20 cm z odrivom (obstoječo živico  je treba deponirati na gradbišču v skladu z normativi!)</t>
  </si>
  <si>
    <t>21 002</t>
  </si>
  <si>
    <t>Površinski izkop plodne zemlje (humusa) v deb. 20 cm s transportom do 10 km</t>
  </si>
  <si>
    <t>21 001</t>
  </si>
  <si>
    <t>IZKOPI</t>
  </si>
  <si>
    <t>Popis del in predizmer je pripravljen na osnovi projekta za izvedbo, podan je kot projektantska ocena predvidenih gradbenih in elektromontažnih del, glede na razpoložljive podatke o cenah in se lahko razlikuje od uradno pridobljenih ponudb. Zaključni sloj nad kabelsko kanalizacijo na parkirišču in pločniku ni predmet tega načrta in je zajet v "Načrtu gradbenih konstrukcij in drugi gradbeni načrti"</t>
  </si>
  <si>
    <t>VSE SKUPAJ z DDV:</t>
  </si>
  <si>
    <t>SKUPAJ brez DDV:</t>
  </si>
  <si>
    <t>Ostalo</t>
  </si>
  <si>
    <t>Zunanji LPS</t>
  </si>
  <si>
    <t>Video nadzor</t>
  </si>
  <si>
    <t>Električni sestav</t>
  </si>
  <si>
    <t>Vodovni material</t>
  </si>
  <si>
    <t>Razsvetljava</t>
  </si>
  <si>
    <t>5.1</t>
  </si>
  <si>
    <t>Elektromontažna dela - parkirišče</t>
  </si>
  <si>
    <t>Gradbena dela - javna/cestna razsvetljava, parkirišče</t>
  </si>
  <si>
    <t>Elektromontažna dela - NN priključek</t>
  </si>
  <si>
    <t>Gradbena dela - NN priključek</t>
  </si>
  <si>
    <t>POPIS DEL IN PREDIZMERE</t>
  </si>
  <si>
    <t xml:space="preserve">Izvajalec sme navedene inštalacije in opremo uporabljati šele po pisni potrditvi s strani naročnika, sicer nosi stroške morebitne zahtevane zamenjave. Garancijska doba posameznega izdelka začne teči z dnem primopredaje objekta. </t>
  </si>
  <si>
    <t>23.</t>
  </si>
  <si>
    <t>Za vso opremo, ki bi jo izvajalec glede na projektni popis želel zamenjati mora pridobiti pisno potrditev projektanta, nadzornika in investitorja. Ne bo se potrjevala oprema nižjega kvalitativnega razreda od projektno predvidenega, če to ne bo imelo za investitorja pozitivnega finančnega ali tehničnega učinka.</t>
  </si>
  <si>
    <t>22.</t>
  </si>
  <si>
    <t>Za vsak element ponudbenih del mora izvajalec naročniku vnaprej in pravočasno predložiti vzorce in tehnično dokumentacijo s certifikati o skladnosti, atesti, navodili za vgradnjo, uporabo in vzdrževanje ( tehnološki elaborat ), ter šele po potrditvi s strani naročnika dokončno naročiti izdelavo, dobavo in montažo na objektu. Dokumentacija se glede na napredovanje del arhivira v fasciklu - katalog elektro inštalacij in elektro opreme in je ob zaključku del osnova za sestavo dokazila o zanesljivosti objekta.</t>
  </si>
  <si>
    <t>21.</t>
  </si>
  <si>
    <t>Ponudba za dodatni material in opremo mora biti pripravljena po kalkulativnih elementih iz ponudbe.</t>
  </si>
  <si>
    <t>20.</t>
  </si>
  <si>
    <t>Nudenje morebitne gradbene in ostale pomoči.</t>
  </si>
  <si>
    <t>19.</t>
  </si>
  <si>
    <t>Zavarovanje vgrajene opreme in elementov pred onesnaževanjem in poškodbami, odtujitve do primopredaje izvedenih del investitorju.</t>
  </si>
  <si>
    <t>18.</t>
  </si>
  <si>
    <t>Čiščenje terena zaradi svojih del med gradnjo in po končani gradnji.</t>
  </si>
  <si>
    <t>17.</t>
  </si>
  <si>
    <t xml:space="preserve">Izvajalec mora naročniku dostaviti skice in delavniške načrte vseh sprememb  za izdelavo celotne PID dokumentacije, v skladu z veljavnimi tehničnimi predpisi, normativi, standardi in drugimi zakonskimi akti, pravili stroke ter tako, da bo omogočen nemoten potek gradnje in da bo izvedba, vzdrževanje in uporaba objekta ekonomična. </t>
  </si>
  <si>
    <t>16.</t>
  </si>
  <si>
    <t>Dokumentacija mora biti vložena v prozorne ovitke, ustrezno zaporedno označena, oštevilčena in predana investitorju pred tehničnim pregledom.</t>
  </si>
  <si>
    <t>seznam dobaviteljev opreme in servisov.</t>
  </si>
  <si>
    <t>f)</t>
  </si>
  <si>
    <t>garancijske liste,</t>
  </si>
  <si>
    <t>e)</t>
  </si>
  <si>
    <t>navodila za uporabo in vzdrževanje,</t>
  </si>
  <si>
    <t>d)</t>
  </si>
  <si>
    <t>zapisnike preizkusov, meritev, ipd.,</t>
  </si>
  <si>
    <t>c)</t>
  </si>
  <si>
    <t>certifikate o ustreznosti z atesti za vgrajene materiale in opremo,</t>
  </si>
  <si>
    <t>b)</t>
  </si>
  <si>
    <t xml:space="preserve">izjave, </t>
  </si>
  <si>
    <t>a)</t>
  </si>
  <si>
    <t>Izdelavo dokazila o zanesljivosti objekta za elektro inštalacije v 2 (dveh) izvodih, združene v fasciklu z označenimi registri poglavij vključujoč:</t>
  </si>
  <si>
    <t>15.</t>
  </si>
  <si>
    <t>Izdelavo navodil za uporabo in vzdrževanje elektro inštalcij in opreme, šolanje uporabnika.</t>
  </si>
  <si>
    <t>Izdelavo enopolnih oziroma tropolnih shem elektro inštalacij in opreme na osnovi PID dokumentacije in vložitev teh shem v za to pripravljen »žep« v posameznih električnih sestavih.</t>
  </si>
  <si>
    <t>Vodenje gradbenega dnevnika in gradbene knjige z izmerami skladno s Pravilnikom o vodenju gradbenega dnevnika in gradbene knjige. Izmere gradbene knjige se vodijo tako, da se v izmerah prokažejo vse trase poteka električnih vodov, kabli pa se dolžinsko prikazujejo po posameznih tokokrogih električnega sestava.</t>
  </si>
  <si>
    <t>Izvedbo preizkusov električnih inštalacij, elektro razvodnih omar (tudi po odsekih, če to pogojuje faznost izgradnje) ter izdelavo zapisnikov s strani pooblaščenih merilcev. O pravilnosti delovanje za teh naprav izdelati zapisnik – tabelo, kjer bo razvidno, da je bila dotična instalacija pregledana in pravilno deluje.</t>
  </si>
  <si>
    <t>Ponudnik mora v ponudbi upoštevati kakovostni razred materialov in opreme določene s projektno dokumentacijo in v ponudbi navesti ponujeni proizvod. Ločeno lahko ponudnik ponudi tip proizvoda, ki mora biti enakovreden projektno predvidenim s tem, da upošteva možnost, da se investitor odloči za izbor proizovodov, ki so projektno predvideni.</t>
  </si>
  <si>
    <t>Izvedbo predpisanih ukrepov varstva pri delu, ki jih mora ponudnik obvezno upoštevati.</t>
  </si>
  <si>
    <t>Sorazmerni strošek elektrike, vode (vključno z gradbiščno inštalacijo) in ostale stroške v času gradnje.</t>
  </si>
  <si>
    <t>Izdelavo, uporabo in demontažo vseh delovnih odrov (za ves čas izvajanja del).</t>
  </si>
  <si>
    <t>Redno udeleževanje operativnih rednih in izrednih sestankov, sodelovanje na tehničnem pregledu  s strani vodje projekta elektroinštalacijskih del. Izjemoma se v času upravičene odsotnosti dovoljuje sodelovanje njegovega namestnika, ki je seznanjen s problematiko gradbišča.</t>
  </si>
  <si>
    <t>Manipulativne in režijske stroške, kot tudi stroški koordinacije, kar velja tudi za odpravo napak v garancijski dobi.</t>
  </si>
  <si>
    <t>Zavarovanje ponudbenih del v gradnji, delavcev in materiala na gradbišču v času izvajanja del. Ponudnik mora dokazilo o zavarovanju dostaviti naročniku najkasneje 14 dni po podpisu pogodbe.</t>
  </si>
  <si>
    <t>Zaključna dela na gradbišču s strani ponudnika in njegovih podizvajalcev, z odvozom odvečnega materiala in odpadnega materiala na deponijo.</t>
  </si>
  <si>
    <t>Pripravljalna dela in organizacijo gradbišča.</t>
  </si>
  <si>
    <t>Nabavo vsega materiala in opreme, predvidene za vgraditev in montažo vključno z drobnim montažnim in pritrdilnim materialom. Upoštevati stroške prevoza, razkladanja in skladiščenja na gradbišču, notranjega (horizontalnega in vertikalnega) transporta na gradbišču (ne glede na težo ali zahtevnost).</t>
  </si>
  <si>
    <t>Pri formuliranju enotnih cen in višine faktorja na urne postavke te ponudbe, mora ponudnik upoštevati naslednja dela:</t>
  </si>
  <si>
    <t>Izvajalec je pred pričetkom del dolžan preučiti predmetni PZI načrt in nanj podati morebitne pripombe. V primeru dvoumnosti v katerem koli delu načrta si je izvajalec dolžan nanje pridobiti pisna pojasnila odgovornega projektanta.</t>
  </si>
  <si>
    <t xml:space="preserve">Izvajalec je skozi svojo pripravo dela dolžan načrt za izvedbo po posameznih sklopih razdelati in pripraviti lastne delavniške in montažne risbe (»shop drawings«) in priključitvene podrobnosti (detajle) oziroma te pridobiti od izbranega proizvajalca opreme. Oboje odgovorni projektant praviloma samo pregleduje in na izrecno zahtevo investitorja tudi pisno potrjuje. </t>
  </si>
  <si>
    <t>Izvajalec je dolžan opravljati naloge in upoštevati navedbe zahtevane v 14. členu Gradbenega Zakona iz česar izhaja, da je strokovno usposobljen za posamezno vrsto inštalacije in pozna vse potrebne standardne detajle.</t>
  </si>
  <si>
    <t>Vsa vgrajena oprema in instalacije na objektu je do prevzema s strani investitorja (pooblaščene osebe) v lasti izvajalca.</t>
  </si>
  <si>
    <t>Ves vgrajeni material mora po kvaliteti ustrezati veljavnim tehničnim predpisom in normam.</t>
  </si>
  <si>
    <t>Vsi elementi morajo biti izdelani strokovno in kvalitetno po detajlih in iz materiala kot je navedeno v opisu.</t>
  </si>
  <si>
    <t>Ponudnik je dolžan pred oddajo ponudbe izvesti ogled terena. Kakršnokoli kasnejše uveljavljanje dodatnih del povezanih z lokacijo in pozicijo objekta ali opreme niso možna.</t>
  </si>
  <si>
    <t>Skupaj:</t>
  </si>
  <si>
    <t>Izvedba križanj kabelske kanalizacije z ostalimi podzemnimi komunalnimi instalacijami (skladno s "Smernice in navodila za izbiro, polaganje in prevzem elektroenergetskih kablov nazivne napetosti 1kV do 35kV – Elektro inštitut Milan Vidmar – Študija št. 2090, september 2011")</t>
  </si>
  <si>
    <t>- nakladanje in odvoz odvečnega materiala (merjeno v raščenem stanju) na deponijo oddaljeno do 20 km, vključno s stroški deponiranja</t>
  </si>
  <si>
    <t>- zasipnje sten okoli jaška s tamponskim gramozom in delno z izkopanim materialom, utrjevanje po slojih 20cm, finalno planiranje</t>
  </si>
  <si>
    <t>- dobava in vgradnja sidrnega vijaka za pritrditev omare na temelj, dimenzije M12 x 250 x 80 mm</t>
  </si>
  <si>
    <t>- dobava in vgradnja aramturnega železa (mreže in palice ustreznih profilov)</t>
  </si>
  <si>
    <t>- izdelava opaža sten in demontaža opaža po betoniranju</t>
  </si>
  <si>
    <t>- polaganje filca</t>
  </si>
  <si>
    <t>- planiranje dna gradbene jame</t>
  </si>
  <si>
    <t>- strojni in deloma ročni izkop jame dimenzij (axbxg): 0,75 x 0,5 x 1,0 m v terenu III. do VI. ktg. (80% v terenu III. do IV. in 20% v terenu V. do VI. ktg.)</t>
  </si>
  <si>
    <t>KJ 120x120x108 cm v zelenici oziroma pločniku</t>
  </si>
  <si>
    <t>- zasipnje sten okoli jaška s tamponskim gramozom in delno z izkopanim materialom, utrjevanje po slojih 20 cm, finalno planiranje</t>
  </si>
  <si>
    <t>- izdelava odprtine v steni jaška  za uvod cevi kabelske kanalizacije v jašek, obdelava odprtine v steni s finim ometom po izvedbi kabelske kanalizacije</t>
  </si>
  <si>
    <t>-  vgradnja enojnega LTŽ pokrova z odprtino 600x600 mm z napisom ELEKTRIKA in nosilnostjo 125 kN skupaj z okvirjem na AB pokrov</t>
  </si>
  <si>
    <t>- vgradnja prefabriciranega AB pokrova kabelskega jaška kot npr. tip Jadranka zunanjih dimenzij 140x140x20 cm, nosilnosti 250 kN</t>
  </si>
  <si>
    <t xml:space="preserve">- vgradnja prefabriciranega betonskega kabelskega jaška kot npr. tip Jadranka notranjih dimenzij 120x120x108 cm </t>
  </si>
  <si>
    <t>- strojni in deloma ročni izkop jame dimenzij (axbxg): 1,65 x 1,65 x 1,55 m  v terenu III. do VI. ktg. (80% v terenu III. in IV. ter  20% v terenu V. in VI. ktg.)</t>
  </si>
  <si>
    <t>Izdelava kabelskega jaška notranjih dimenzi 120x120x108 cm v zelenici oziroma pločniku (količine za izdelavo enega jaška) - predfabriciran kot npr. tip Jadranka</t>
  </si>
  <si>
    <t>Strojno dolbljenje  preboja dimenzij (šxv): 0,4x0,2m v betonsko steno obstoječega kabelskega jaška za uvod cevi kabelske kanalizacije ter obdelava odprtine v jašku s finim ometom po izvedbi kabelske kanalizacije</t>
  </si>
  <si>
    <t>m</t>
  </si>
  <si>
    <t>Rdeč PVC opozorilni trak z napisom "POZOR ELEKTRIKA" položen v kabelski rov</t>
  </si>
  <si>
    <t>Protikorozijska zaščita valjanca z bitumensko maso pri prehodu iz kabelskega rova na plano</t>
  </si>
  <si>
    <t>Križna sponka iz nerjavečega materiala za povezavo med ploščatimi vodniki</t>
  </si>
  <si>
    <t>Pocinkan valjanec FeZn 25x4mm položen v kabelski rov</t>
  </si>
  <si>
    <t>Nakladanje in odvoz odvečnega materiala (merjeno v raščenem stanju) na deponijo oddaljeno do 20 km, vključno s stroški deponiranja</t>
  </si>
  <si>
    <t>Ureditev zelenice z zatravitvijo na območju brežine in travnika za postavitev v prvotno stanje</t>
  </si>
  <si>
    <t xml:space="preserve">Zasip kabelskega jarka s tamponskim gramozem frakcije 0-32 mm s komprimiranjem v slojih po 15 cm, polaganje PVC opozorilnega traku
</t>
  </si>
  <si>
    <t xml:space="preserve">Zasip jarka z izkopanim materialom z nabijanjem po slojih 15 cm s prebrano zemljo do vrha jarka oziroma do vrha brežine ali zelenice, polaganje PVC opozorilnega traku
</t>
  </si>
  <si>
    <t>Izdelava posteljice iz betona C12/15 v debelini plasti d=10 cm in obbetoniranjem cevi v debelini plasti d=10 cm nad temenom cevi, polaganje ozemljilnega valjanca</t>
  </si>
  <si>
    <t>Izdelava posteljice iz agregatnega materiala frakcije 0-4 mm v debelini plasti d=10 cm in obsip cevi z agregatnim materialom frakcije 0-4 m v debelini plasti d=10 cm nad temenom cevi, polaganje ozemljilnega valjanca</t>
  </si>
  <si>
    <t>Fino planiranje in utrjevanje dna jarka pred položitvijo peščene oziroma betonske posteljice</t>
  </si>
  <si>
    <t>Izkop kabelskega jarka v terenu V. in VI. ktg.  širine 0,55 m  m in globine do 1,05 m (glej risbo - Karakteristični prerezi kabelskega rova) - upoštevano 20% celotnega izkopa</t>
  </si>
  <si>
    <t>Izkop kabelskega jarka v terenu III. in IV. ktg. širine 0,55 m  m in globine do 1,05 m (glej risbo - Karakteristični prerezi kabelskega rova) - upoštevano 80% celotnega izkopa</t>
  </si>
  <si>
    <t>Pazljiv izkop kabelskega jarka nad obstoječo kabelsko kanalizacijo v terenu V. in VI. ktg.  širine 0,55 m  m in globine 0,7 m (glej risbo - Karakteristični prerezi kabelskega rova) - upoštevano 20% celotnega izkopa</t>
  </si>
  <si>
    <t>Pazljiv izkop kabelskega jarka nad obstoječo kabelsko kanalizacijo v terenu III. in IV. ktg. širine 0,55 m  m in globine 0,7 m (glej risbo - Karakteristični prerezi kabelskega rova) - upoštevano 80% celotnega izkopa</t>
  </si>
  <si>
    <t>Rušenje obstoječega tlaka iz pranih plošč ob stanovanjskem objektu, odvečnega materiala (merjeno v raščenem stanju) na deponijo oddaljeno do 20 km, vključno s stroški deponiranja ter po izgradnji kabelske kanalizacije ponovno polaganje pranih plošč na betonski podlogo s cementnomalto, fugiranje, zamenjava poškodovanih plošč  za postavitev v prvotno stanje</t>
  </si>
  <si>
    <t>Rušenje asfalta debeline do 10 cm z direktnim nakladanjem na prevozno sredstvo in odvozom odvečnega materiala (merjeno v raščenem stanju) na deponijo oddaljeno do 20 km, vključno s stroški deponiranja</t>
  </si>
  <si>
    <t>Strojno rezanje obstoječega asfalta do debeline 10 cm</t>
  </si>
  <si>
    <t xml:space="preserve">Pridobitev dovoljenja za poseg v javno dobro (lokalna cesta) z morebitno izdelavo elaborata, zavarovanje prometa med gradnjo s pridobitvijo dovoljenj, eventuelno izdelavo prometnih načrtov ter dobava in postavitev ustrezne signalizacije za vse dni gradnje (sorazmerni delež)
</t>
  </si>
  <si>
    <t>Zakoličba vseh ostalih obstoječih podzemnih komunalnih vodov - vodovod, elektrika, telekomunikacije, kanalizacija, plinovod ….</t>
  </si>
  <si>
    <t>Trasiranje nove trase kabelske kanalizacije</t>
  </si>
  <si>
    <t>Vrednost</t>
  </si>
  <si>
    <t>Cena/enoto</t>
  </si>
  <si>
    <t>Količina</t>
  </si>
  <si>
    <t>Opis</t>
  </si>
  <si>
    <t>Št.</t>
  </si>
  <si>
    <t>1.   GRADBENA DELA - NN PRIKLJUČEK</t>
  </si>
  <si>
    <t>Novo odvodno polje v TP PROJEKT</t>
  </si>
  <si>
    <t>- montaža na pripravljeno lokacijo, komplet ožičenje v omari, bakrena povezava na s sosednjim odvodnim poljem,  napisne ploščice dodatne opreme, pritrdilni in ostali drobni material in meritve</t>
  </si>
  <si>
    <t xml:space="preserve">- odvodno polje, dimenzij ca (ŠxVxG): 550x1900x400mm, se postavi k obstoječemu odvodnemu polju, dovod v omaro od strani s tremi faznimi zbiralkami Cu 100x10 mm in PEN zbiralko Cu 50x10 mm, opremi se z dvema odvodoma v obliki 400A varovalčno/stikalne letve opremljne z varovalkami NV2/225, umerjenimi tokovnimi transformatorji TC6, 400/5A. Kovinska omara, prašno barvana, v barvi kot obstoječe polje (RAL 7035) </t>
  </si>
  <si>
    <t>M.O. P+R</t>
  </si>
  <si>
    <t xml:space="preserve"> -ožičenje omarice, s kanali za ožičenje, prekrivnimi ploščami, montažnimi letvami, vrstnimi sponkami, napisnimi ploščicami opreme omarice in kablov, uvodnicami, pritrdilnim in ostalim drobnim materialom, izdelava troplne sheme, predajo dokumentacije, meritev in certifikatov za omarico</t>
  </si>
  <si>
    <t>skupaj</t>
  </si>
  <si>
    <t>- GSM/GPRS komunikacijski vmesnik za števec električne energije, kot npr. CM-v-3 (Iskraemeco) z anteno</t>
  </si>
  <si>
    <t>- merilno spončna garnitura, komplet s   priključki</t>
  </si>
  <si>
    <t>- trifazni polindirektni dvosmerni elektronski števec delovne in jalove energije z merjeno močjo - 400/230V, 5A , z  LCD prikazovalnikom, kot npr. MT880-T1A42R56 (Iskraemeco)</t>
  </si>
  <si>
    <t>Napisna ploščica z oznako in opisom kabla, pritrjena na kabel v kabelskem jašku</t>
  </si>
  <si>
    <t>NN varovalke 3x225 A gG, vgrajene v NN polje transformatorske postaje</t>
  </si>
  <si>
    <t>- vgradnja sidrnega vijaka za pritrditev omare na temelj, dimenzije M12 x 250 x 80 mm</t>
  </si>
  <si>
    <t>- vgradnja aramturnega železa (mreže in palice ustreznih profilov)</t>
  </si>
  <si>
    <t>Temelj za polnilno postajo za električna vozila</t>
  </si>
  <si>
    <t>- strojni in deloma ročni izkop jame dimenzij (axbxg): 0,5 x 0,65 x 0,6 m v terenu III. do VI. ktg. (80% v terenu III. in IV. ter  20% v terenu V. in VI. ktg.)</t>
  </si>
  <si>
    <t>Izdelava temelja za polnilno postajo za električna vozila (količine za izdelavo enega temelja)</t>
  </si>
  <si>
    <t>Temelj za steber višine 6 m - sidrna plošča</t>
  </si>
  <si>
    <t>- zaključno dobetoniranje temelja in vrh, ki gleda iz zemlje, zalikamo v blagem nagibu</t>
  </si>
  <si>
    <t>- vgradnja sidrnega vijaka za pritrditev kandelabra na temelj, dimenzije M16 x 500 x 170 mm</t>
  </si>
  <si>
    <t>- strojni in deloma ročni izkop jame dimenzij (axbxg): 0,9 x 0,9 x 1,0 m v terenu III. do VI. ktg. (80% v terenu III. in IV. ter  20% v terenu V. in VI. ktg.)</t>
  </si>
  <si>
    <t>Izdelava temelja za steber cestne razsvetljave višine  6 m - sidrna plošča (količine za izdelavo enega temelja)</t>
  </si>
  <si>
    <t>KJ 50x50x65 cm v pločniku</t>
  </si>
  <si>
    <t>- vgradnja enojnega LTŽ pokrova z odprtino 500x500 mm z napisom ELEKTRIKA in nosilnostjo 125 kN skupaj z okvirjem</t>
  </si>
  <si>
    <t>- vgradnja prefabriciranega podaljška betonskega kabelskega jaška kot npr. tip Jadranka notranjih dimenzij 50x50x20 cm, pritrditev na osnovni jašek</t>
  </si>
  <si>
    <t xml:space="preserve">- vgradnja prefabriciranega betonskega kabelskega jaška kot npr. tip Jadranka notranjih dimenzij 50x50x45 cm </t>
  </si>
  <si>
    <t>- strojni in deloma ročni izkop jame dimenzij (axbxg): 0,7x0,7x0,85 m v terenu III. do VI. ktg. (80% v terenu III. do IV. in 20% v terenu V. do VI. ktg.)</t>
  </si>
  <si>
    <t>Izdelava kabelskega jaška notranjih dimenzij 50x50x65 cm v pločniku (količine za izdelavo enega jaška) - predfabriciran kot npr. tip Jadranka</t>
  </si>
  <si>
    <t>KJ 60x60x88 cm na parkirišču</t>
  </si>
  <si>
    <t>- zasipnje sten okoli jaška s tamponskim gramozom in delno z izkopanim materialom s komprimiranjem do potrebne zbitosti, finalno planiranje</t>
  </si>
  <si>
    <t>- vgradnja enojnega LTŽ pokrova z odprtino 600x600 mm z napisom ELEKTRIKA in nosilnostjo 125 kN skupaj z okvirjem</t>
  </si>
  <si>
    <t xml:space="preserve">- vgradnja prefabriciranega betonskega kabelskega jaška kot npr. tip Jadranka notranjih dimenzij 60x60x88 cm </t>
  </si>
  <si>
    <t>- strojni in deloma ročni izkop jame dimenzij (axbxg): 1,1 x 1,1 x 1,15 m v terenu III. do VI. ktg. (80% v terenu III. do IV. in 20% v terenu V. do VI. ktg.)</t>
  </si>
  <si>
    <t>Izdelava kabelskega jaška notranjih dimenzij 60x60x88 cm na parkirišču s travnimi ploščami (količine za izdelavo enega jaška) - predfabriciran kot npr. tip Jadranka</t>
  </si>
  <si>
    <t>Izkop kabelskega jarka v terenu V. in VI. ktg. širine od 0,3 m do 0,55 m in globine do 1,15 m (glej risbo - Karakteristični prerezi kabelskega rova) - upoštevano 20% celotnega izkopa</t>
  </si>
  <si>
    <t>Izkop kabelskega jarka v terenu III. in IV. ktg. širine od 0,3 m do 0,55 m in globine do 1,15 m (glej risbo - Karakteristični prerezi kabelskega rova) - upoštevano 80% celotnega izkopa</t>
  </si>
  <si>
    <t>Odklop obstoječega kabla v montažni plošči stebra, odstranitev obstoječega stebra z izruvanje s pomočjo avtodviga, odvoz stebra v skladišče vzdrževalca javne/cestne razsvetljave, strojno in deloma ročno razbijanje in rušenje obstoječega temelja stebra, nakladanje in odvoz odvečnega materiala na deponijo oddaljeno do 20 km, vključno s stroški deponiranja, zasutje luknje z zemljo oziroma  s tamponskim gramozem frakcije 0-32 mm nad preostankom temelja</t>
  </si>
  <si>
    <t>3.   GRADBENA DELA - JAVNA/CESTNA RAZSVETLJAVA, PARKIRIŠČE</t>
  </si>
  <si>
    <t>LED napajalnik kot npr. LPV-35-24,  vhod 230V AC, izhod 0-1,5 A, 24V DC, moč 35 W, zaščita pred delci in vlago IP67 - za napajanje svetilke S5</t>
  </si>
  <si>
    <t>LED napajalnik kot npr. LPV-100-24,  vhod 230V AC, izhod 0-4,2 A, 24V DC, moč 100 W, zaščita pred delci in vlago IP67 - za napajanje svetilk S4/2</t>
  </si>
  <si>
    <t>4.2</t>
  </si>
  <si>
    <t>LED napajalnik kot npr. LPV-150-24,  vhod 230V AC, izhod 0-6,3 A, 24V DC, moč 150 W, zaščita pred delci in vlago IP67 - za napajanje svetilk S2</t>
  </si>
  <si>
    <t>4.1</t>
  </si>
  <si>
    <t>Priklop ventilatorja  na izvor električnega napajanja do funkcionalnega delovanja</t>
  </si>
  <si>
    <t>Priklop zapornice na izvor električnega napajanja</t>
  </si>
  <si>
    <t>Priklop IR terminala na izvor električnega napajanja</t>
  </si>
  <si>
    <t>Priklop parkomata na izvor električnega napajanja</t>
  </si>
  <si>
    <t>Priklop polnilne postaje za električna kolesa na izvor električnega napajanja</t>
  </si>
  <si>
    <t>Priklop polnilne postaje za električna vozila na izvor električnega napajanja</t>
  </si>
  <si>
    <t>Vtičnica s pokrovom, kot npr. EZB 1653 (Eti),  400V, 16A, petpolna, p/o z ustrezno dozo, zaščite IP44</t>
  </si>
  <si>
    <t>- 1x vtičnica (VM10PW), nosilni okvir (NM23),  okrasni okvir zaščite IP55 (AQ31PW) bele barve</t>
  </si>
  <si>
    <t>Vtičniška kombinacija kot npr. Modul (TEM) bele barve, 230V, 16A, p/o, z dozo (BM30), vtičnica opremljena z nalepko z oznako električnega sestava in tokokroga iz katerega se napaja, sestavljena iz:</t>
  </si>
  <si>
    <t>- 264x152x70 mm</t>
  </si>
  <si>
    <t>- 196x152x70 mm</t>
  </si>
  <si>
    <t>- 152x98x70 mm</t>
  </si>
  <si>
    <t>- 118x96x70 mm</t>
  </si>
  <si>
    <t>Razvodna p/o plastična doza za betonsko steno</t>
  </si>
  <si>
    <t>PVC rebrasta instalacijska cev (RBC), položena podometno v liti beton oziroma betonski estrih ter nosilne stene, komplet z razvodnimi dozami in pritrdilnim materialom</t>
  </si>
  <si>
    <t>PVC rebrasta samougasna instalacijska cev (RFS), položena nadometno v konstrukciji nadstrešnice, komplet z razvodnimi dozami in pritrdilnim materialom</t>
  </si>
  <si>
    <t>Zaključevanje komunikacijskega kabla U/UTP CAT 6  na vtičnici in priklopnem panelu</t>
  </si>
  <si>
    <t>Komunikacijski kabel U/UTP 4x2x24 AWG CAT6 (LSHF) uvlečen v instalacijsko cev</t>
  </si>
  <si>
    <t>Finožični vodnik H07V-K za izenačevanje potenciala in povezavo kovinskih mas</t>
  </si>
  <si>
    <t>Finožilni gumi kabel H05RN-F uvlečen v kabelsko kanalizacijo oziroma instalacijsko cev</t>
  </si>
  <si>
    <t>Kabelski tulci za zaključek kabla FG16OR16,  toploskrčne cevi z lepilom za zaščito kabelskih tulcev</t>
  </si>
  <si>
    <t>Finožilni kabel FG16OR16 uvlečen v kabelsko kanalizacijo oziroma instalacijsko cev</t>
  </si>
  <si>
    <t>- ožičenje električnega sestava, s kanali za ožičenje, prekrivnimi ploščami, montažnimi letvami, napisnimi ploščicami opreme razdelilnika in kablov, uvodnicami, pritrdilnim in ostalim drobnim materialom, izdelava krmilnih in vezalnih načrtov, predaja dokumentacije, meritve in certifikat za ta električni sestav</t>
  </si>
  <si>
    <t>ostalo</t>
  </si>
  <si>
    <t>- zaključna ploščica, 3-polna</t>
  </si>
  <si>
    <t>- nočna krmilna naprava (forel) z zunanjim senzorjem, kot npr. SOU-1 (Eti)</t>
  </si>
  <si>
    <t>- adapter za sistem 60 mm, 160A za odklopnik MC1, 3 polni, kot npr. MC195700-- (Schrack)</t>
  </si>
  <si>
    <t>odovodi - sistem BUS</t>
  </si>
  <si>
    <t>- vertikalni varovalčna letev za sistem 60 mm, priklop objemka/vijak, tripolni , velikost 0 (160A) z NV varovalkami 100A gG, kot npr. SI332340-- (Schrack)</t>
  </si>
  <si>
    <t>- vrtljiva ročica za ločilno stikalo MC3, z zaporo vrat in možnostjo zaklepanja, rdeče/rumene barve, kot npr. MC390182--  (Schrack)</t>
  </si>
  <si>
    <t>- prekritje za adapter sistema 60 mm, 630A za stikalo MC3, 3 polno, kot npr. MC391668-- (Schrack)</t>
  </si>
  <si>
    <t>- adapter za sistem 60 mm, 630A za stikalo MC3, 3 polni, kot npr. MC391700-- (Schrack)</t>
  </si>
  <si>
    <t>dovod</t>
  </si>
  <si>
    <t xml:space="preserve">- lamelirana bakrena zbiralka, 10x20x1, 630 A, izolirana, 2m </t>
  </si>
  <si>
    <t>- bakrena zbiralka, dolžine 2000 mm, dimenzij 30x10 mm, 573 A</t>
  </si>
  <si>
    <t>- nosilec zbiralk PE/N 2 polni z notranjo pritrditvijo za sistem 60 mm</t>
  </si>
  <si>
    <t>- nosilec zbiralk z notranjo pritrditvijo za sistem 60 mm</t>
  </si>
  <si>
    <t>zbiralke</t>
  </si>
  <si>
    <t>- svetilka za omaro z vtičnico, magnetna, IP20, kot npr.  IU008508-- (Schrack)</t>
  </si>
  <si>
    <t>- končno stikalo za vklop svetilke s priborom za pritrditev</t>
  </si>
  <si>
    <t>- predal za načrte A4</t>
  </si>
  <si>
    <t>omara</t>
  </si>
  <si>
    <t>Montaža sistema, parametriranje, programiranje in predaja sistema, šolanje uporabnika</t>
  </si>
  <si>
    <t xml:space="preserve">LTE modem za mobilni prenos podatkov dobavi operater mobilne telefonije, skladno s pogodbo med naročnikom in operaterjem           </t>
  </si>
  <si>
    <t>Zaključevanje optičnega kabla na LC konektorju, skupaj s LC konektorjem za kabel z 2-mi vlakni</t>
  </si>
  <si>
    <t>Vpihovanje optičnega kabla v cev malega premera</t>
  </si>
  <si>
    <t xml:space="preserve">Optični kabel "multimode",2 vlakni, 50/125µm, z ojačano izolacijo odporno proti glodalcem, uvlečen v kabelsko kanalizacijo in položen na kabelske police, kot npr. NEXO-DP 2xFO </t>
  </si>
  <si>
    <t>Gigabitni optični SFP modul 550m 980 nm - 1000Base-SX multi-mode 50/125 µm optika, skupaj z napajalnikom -  - vgrajen v omaro parkomata 1/2</t>
  </si>
  <si>
    <t>4 portni Ethernet PoE snemalnik vido signala - 4 IP video vhodi,  s skupno močjo 32 W brez konfiguracije (unmanaged) vgrajen QoS mehanizem 802.1p, hitrost IEEE 802.3 10BASE-T, HDMI izhod, WAN  omrežni vmesnik, ločljivost snemanja maksimalno 6 MP, 24 Mbps, trdi disk SATA 2 kapacitete 4 TB, namiznem kovinskem ohišju, komplet z napajalnikom -  vgrajen v omaro parkomata 2</t>
  </si>
  <si>
    <t>5 portno Ethernet PoE stikalo - 5x Gigabit Ethernet vrata (4x PoE + vrata) s skupno močjo 60 W brez konfiguracije (unmanaged) vgrajen QoS mehanizem 802.1p, hitrost IEEE 802.3 10BASE-T, namiznem kovinskem ohišju, kot npr. DGS-1005P/E (DLINK), komplet z napajalnikom - vgrajen v omaro parkomata 1</t>
  </si>
  <si>
    <t>Programska oprema, licence za kamere (ML nivo licenc, do 20 kamer, do 1 server in do 2 delovni postaji)</t>
  </si>
  <si>
    <t>Polaganje ozemljilnega traku, zasip jarka z izkopanim materialom z nabijanjem po slojih 15 cm</t>
  </si>
  <si>
    <t>Izkop kabelskega jarka v terenu V. in VI. ktg. širine 0,2 m  in globine do 0,8 m - upoštevano 20% celotnega izkopa</t>
  </si>
  <si>
    <t>Izkop kabelskega jarka v terenu III. in IV. ktg. širine 0,2 m   in globine do 0,8 m - upoštevano 80% celotnega izkopa</t>
  </si>
  <si>
    <t>Ozemljitev nosilca kovinske ograje - pritrdtev ozemljitevenega valjenca na kovinsko konstrukcijo z dvema samoreznima vijakoma oziroma z varjenjem, protikorozijska zaščita spoja</t>
  </si>
  <si>
    <t>Ozemljilni trak – ploščati vodnik iz pocinkanega valjanca FeZn 25x4 mm položen v betonski temelj, zid ter v zemljo</t>
  </si>
  <si>
    <t>Ozemljitveni sistem</t>
  </si>
  <si>
    <t>Merilna številka za označevanje merilnega mesta kot npr. MS (Hermi)</t>
  </si>
  <si>
    <t>PVC rebrasta samougasna instalacijska cev (RFS), položena podometno f20 mm, ki se na steno pritrdi z zidnim nosilcem ZON 03 DIREKT in v katero se uvleče odvodni vodnik RH3*H2</t>
  </si>
  <si>
    <t>Odvodni sistem</t>
  </si>
  <si>
    <t>Lovilni sistem</t>
  </si>
  <si>
    <t>Skupaj ostalo:</t>
  </si>
  <si>
    <t>Izdelava manjših sprememb projektnih rešitev ali kontrolnih izračunov in preverjanj predlaganih sprememb na predlog izvajalca, nadzornika, investitorja - vrednost urne postavke po priporočilih IZS in ZAPS, vključen je tudi potovalni čas</t>
  </si>
  <si>
    <t>Strokovni nadzor električnih napeljav - vrednost urne postavke po priporočilih IZS in ZAPS, vključen je tudi potovalni čas</t>
  </si>
  <si>
    <t>Projektantski nadzor električnih napeljav - vrednost urne postavke po priporočilih IZS in ZAPS, vključen je tudi potovalni čas</t>
  </si>
  <si>
    <t>Ureditev priklopa na NN distrbucijsko omrežje - pridobitev vse  potrebne dokumentacije, plačilo elektroenergetskega prispevka ostali odjem - omejevalec toka 3x200 A, nadzor nad izgradnjo NN priključka, pregled NN priključka in merilnega mesta s strani elektro distribucijskega podjetja, priključitev merilnega mesta na NN omrežje</t>
  </si>
  <si>
    <t>Nadzor Elektro Gorenjska (po dejanskih stroških)</t>
  </si>
  <si>
    <t>N ur</t>
  </si>
  <si>
    <t>Nadzor upravljalca cestne razsvetljave (po dejanskih stroških)</t>
  </si>
  <si>
    <t>KANALIZACIJA</t>
  </si>
  <si>
    <t>A</t>
  </si>
  <si>
    <t>TUJE STORITVE – SKUPAJ</t>
  </si>
  <si>
    <t>Izvedba TV snemanja kanalizacije in podolžnih profilov po izvedenih delih. Kamere za snemanje kanalizacije morajo biti takšne dimenzije, da omogočajo snemanje tudi manjših profilov kanala. Ponudnik mora naročniku zagotoviti snemanje kanalizacije s TV kamero in hkratno snemanje podolžnih profilov (kaseta-grafični izris podolžnih profilov), presnemavanje na video kaseto VHS oziroma DVD disk.</t>
  </si>
  <si>
    <t>Mehansko odstranjevanje nesnage in čiščenje izvedene kanalizacije s spiranjem.</t>
  </si>
  <si>
    <t>Preizkus vodotesnosti kanalizacijskih cevi po veljavnih standardih.</t>
  </si>
  <si>
    <t>Preizkus vodotesnosti kanalizacijskih jaškov iz poliestra po veljavnih standardih.</t>
  </si>
  <si>
    <t>62 001</t>
  </si>
  <si>
    <t>PREIZKUSI IN ČIŠČENJE KANALIZACIJE</t>
  </si>
  <si>
    <t>Izvajanje geotehničnega nadzora</t>
  </si>
  <si>
    <t>Izvajanje projektantskega nadzora</t>
  </si>
  <si>
    <t>61 002</t>
  </si>
  <si>
    <t>KANALIZACIJA – SKUPAJ</t>
  </si>
  <si>
    <t>Dobava in polaganje gradbene PVC folije debeline 1,5 mm kot zaščitni sloj pred odtekanjem talne vode pod zelenimi površinami nad ponikalnimi košarami.</t>
  </si>
  <si>
    <t>Dobava in polaganje geotekstila kot npr. Filc PT 5020 - 200 g/m2 kot filterski sloj okoli ponikalnih košar z ovitjem celotnega ponikalnega volumna s prekrivanjem od 30-50 cm.</t>
  </si>
  <si>
    <t>Dobava in polaganje geotekstila kot npr. Filc PT 5020 - 200 g/m2 kot filterski sloj okoli drenažno kanalizacijske cevi z ovitjem celotnega obsipa cevi (cca. 1,5 m2/m1).</t>
  </si>
  <si>
    <t>Dobava in vgradnja tipske linijske kanalete širine 10 cm z že vgrajenim padcem z nastavkom za asimetrično rego (vključno z asimetrično rego) na že prej pripravljeno tamponsko podlago, vključno z betonskim temeljem in zbiralnikom na 10 m (peskolov) z bočnim iztokom premera 100 mm.</t>
  </si>
  <si>
    <t>51 010</t>
  </si>
  <si>
    <t>Dobava in vgradnja tipske linijske kanalete širine 10 cm z že vgrajenim padcem in LTŽ pokrivno rešetko razreda A15, na že prej pripravljeno tamponsko podlago, vključno z betonskim temeljem in zbiralnikom na 10 m (peskolov) z bočnim iztokom premera 100 mm.</t>
  </si>
  <si>
    <t>51 009</t>
  </si>
  <si>
    <t>Izdelava cestnega požiralnika in peskolova  iz betonske cevi fi 50 cm, z izdelavo dna in obdelavo priključkov, ter AB ploščo z dobavo in vgradnjo LTŽ rešetke dimenzij 40/40 cm razreda C250, izdelava po detajlu.</t>
  </si>
  <si>
    <t>51 008</t>
  </si>
  <si>
    <t>Izdelava cestnega požiralnika in peskolova z vtokom pod robnik  iz betonske cevi fi 50 cm, z izdelavo dna in obdelavo priključkov, ter AB ploščo z dobavo in vgradnjo LTŽ pokrova dimenzij 40/40 cm razreda A15, izdelava po detajlu.</t>
  </si>
  <si>
    <t>51 007</t>
  </si>
  <si>
    <t>Izdelava cestnega požiralnika in peskolova  iz betonske cevi fi 50 cm, z izdelavo dna in obdelavo priključkov, ter AB ploščo z dobavo in vgradnjo LTŽ rešetke dimenzij 40/40 cm razreda A15, izdelava po detajlu.</t>
  </si>
  <si>
    <t>51 006</t>
  </si>
  <si>
    <t>Izdelava peskolova iz betonske cevi fi 50 cm, z izdelavo dna in obdelavo priključkov, ter AB ploščo z dobavo ter z vgraditvijo polnilnega INOX316 pokrova s tesnenjem dim. 50/50 cm razreda A15, izdelava po detajlu.</t>
  </si>
  <si>
    <t>51 005</t>
  </si>
  <si>
    <t>Dobava in vgradnja tipskih ponikalnih košar dim. 120/60/42 cm (izkop, planum izkopa, izdelava tamponske posteljice in zasip že upoštevana v popisu), vključno s transportom, vstavitvijo v gradbeno jamo, polaganjem filca, vsemi priklopi in izvedbo odzračevalnih cevi.</t>
  </si>
  <si>
    <t>51 004</t>
  </si>
  <si>
    <t>Dobava in vgradnja tipskega lovilca olja in maščob mineralnih goriv z by-passom, vključno z izkopom in zasipom,  izdelavo temelja s priključki, tip koalescentni lovilec olja z vgrajenim usedalnikom z izračunano pretočno sposobnostjo Ns 3 l/s, maksimalni dotok padavinske vode 15 l/s, prostornino usedalnika min. 300 l ter prostorninono lovilca olj min. 45 l. skladno s standardom SIST EN 858</t>
  </si>
  <si>
    <t>51 003</t>
  </si>
  <si>
    <t>Izdelava vodotesnih revizijskih jaškov globine od 0 do 2 m iz betonske cevi fi 80 cm, z napravo AB temelja in venca, obdelavo vtoka v jašek ter z vgraditvijo LTŽ pokrova s tesnenjem fi 60 cm razreda A15;</t>
  </si>
  <si>
    <t>Izdelava vodotesnih revizijskih jaškov globine od 0 do 2 m iz betonske cevi fi 80 cm, z napravo AB temelja in venca, obdelavo vtoka v jašek ter z vgraditvijo polnilnega INOX316 pokrova s tesnenjem dim. 60/60 cm razreda A15;</t>
  </si>
  <si>
    <t>DK DN 160</t>
  </si>
  <si>
    <t>50 006</t>
  </si>
  <si>
    <t>Dobava in polaganje drenažno - kanalizacijskih cevi iz plastičnih mas s polaganjem na betonsko posteljico, kompletno s spajanjem ter vsemi pomožnimi deli in prenosi;.</t>
  </si>
  <si>
    <t>PVC DN 200 SN 8</t>
  </si>
  <si>
    <t>50 005</t>
  </si>
  <si>
    <t>PVC DN 160 SN 8</t>
  </si>
  <si>
    <t>50 004</t>
  </si>
  <si>
    <t>PVC DN 125 SN 8</t>
  </si>
  <si>
    <t>50 003</t>
  </si>
  <si>
    <t>PVC DN 125 SN 4</t>
  </si>
  <si>
    <t>PVC DN 100 SN 8</t>
  </si>
  <si>
    <t>Dobava in montaža enoslojnih, debelostenskih gladkih PVC kanalizacijskih cevi  s polaganjem na peščeno posteljico,kompletno s spajanjem, spojnim materialom in fitingi (kolena in odcepi) ter vsemi pomožnimi deli in prenosi;</t>
  </si>
  <si>
    <t>GRADBENA IN OBRTNIŠKA DELA - SKUPAJ</t>
  </si>
  <si>
    <t>Izvedba zaščite ostalih vodov gospodarske javne infrastrukture ob vzdolžnem poteku gradbene jame z zaščito vseh obstoječih instalacij pred mehanskimi poškodbami z ovitjem v stekleno volno v rolah ali zaščito z zaščitnimi cevmi in obetoniranjem, varovanjem gradbebe jame pred vsipom in dodatnim utrjevanjem zasipnega materiala na mestu križanj.</t>
  </si>
  <si>
    <t>40 005</t>
  </si>
  <si>
    <t>Izvedba križanj z ostalimi obstoječimi vodi gospodarske javne infrastrukture z zaščito vseh obstoječih instalacij pred mehanskimi poškodbami z ovitjem v stekleno volno v rolah ali zaščito z zaščitnimi cevmi in obetoniranjem, varovanjem gradbebe jame pred vsipom in dodatnim utrjevanjem zasipnega materiala na mestu križanj.</t>
  </si>
  <si>
    <t>40 004</t>
  </si>
  <si>
    <t>(ocena)</t>
  </si>
  <si>
    <t>Postavitev začasnih lesenih prehodov preko izkopanega jarka iz plohov in ograjo iz desk, za prehod</t>
  </si>
  <si>
    <t>40 003</t>
  </si>
  <si>
    <t>Montaža in demontaža dvostranskega vertikalnega varovalnega opaža za razpiranje sten izkopa po tehnologiji izvajalca.</t>
  </si>
  <si>
    <t>40 002</t>
  </si>
  <si>
    <t>Nabava dvostranskega vertikalnega varovalnega opaža za razpiranje sten izkopa po tehnologiji izvajalca. Popis predvideva opažen izkop po trasah dolžine ne več kot 10 m.</t>
  </si>
  <si>
    <t>40 001</t>
  </si>
  <si>
    <t>ZEMELJSKA DELA – SKUPAJ</t>
  </si>
  <si>
    <t>Opomba: Upoštevano v načrtu zunanje ureditve</t>
  </si>
  <si>
    <t>Humuziranje ravnih zelenih površin brez valjanja ter zasaditev trave , vključno z zalivanjem in vzdrževanjem do treh mesecev po sejanju</t>
  </si>
  <si>
    <t>NASIPI, ZASIPI - SKUPAJ</t>
  </si>
  <si>
    <t>Črpanje vode iz gradbene jame v času gradnje</t>
  </si>
  <si>
    <t>22 012</t>
  </si>
  <si>
    <t>Odvoz odvečnega materiala od izkopa na deponijo z nakladanjem in razgrinjanjem na deponiji. Deponija oddaljena do 10 km, ki jo izvajalec del pridobi sam (upoštevan faktor razrahljivosti izkopanega materiala f=1.40)</t>
  </si>
  <si>
    <t>22 011</t>
  </si>
  <si>
    <t>Zasip gradbene jame ponikalnih košar z izkopanim materialom in komprimiranjem v slojih po 20 cm, pridobljenega iz predhodnega širokega izkopa, pripeljanega iz začasne deponije. V kolikor izkopani material ne ustreza zahtevani kakovosti se uporabi lomljenec frakcije 0-64.</t>
  </si>
  <si>
    <t>22 010</t>
  </si>
  <si>
    <t>Zasip jarka z izkopanim materialom in komprimiranjem v slojih po 20 cm, pridobljenega iz predhodnega širokega izkopa, pripeljanega iz začasne deponije.</t>
  </si>
  <si>
    <t>22 009</t>
  </si>
  <si>
    <t>Izdelava drenažnega obsipa ponikalnih košar s peskom rizel granulacije 16/32 mm, vključno z zasipom do 30 cm nad temenom ponikalnih košar.</t>
  </si>
  <si>
    <t>22 008</t>
  </si>
  <si>
    <t>Izdelava peščenega obsipa drenažno-kanalizacijskih cevi (drenažnega sloja) do 30 cm nad temenom s peskom rizel granulacije 16/32 mm. Na betonsko posteljico se izvede 3-5 cm debel nasip, v katerega si cev izdela ležišče. Obsip cevi izvajati v slojih po 15 cm, istočasno na obeh straneh cevi ter paziti, da se cev ne premakne iz ležišča.</t>
  </si>
  <si>
    <t>22 007</t>
  </si>
  <si>
    <t>Izdelava peščenega obsipa cevi do 30 cm nad temenom s peskom granulacije 0-30 mm. Na peščeno posteljico se izvede 3-5 cm debel nasip, v katerega si cev izdela ležišče. Obsip cevi izvajati v slojih po 15 cm, istočasno na obeh straneh cevi ter paziti, da se cev ne premakne iz ležišča. Utrditev po SPP do 95% trdnosti</t>
  </si>
  <si>
    <t>22 006</t>
  </si>
  <si>
    <t>Izdelava temeljne plasti posteljice drenažne kanalizacije, debeline 10 cm s podložnim betonom C12/15,X0,Cl 0,1,Dmax32,S1 natančnost izdelave posteljice je do +/-1 cm.</t>
  </si>
  <si>
    <t>22 005</t>
  </si>
  <si>
    <t>Izdelava temeljne drenažne plasti posteljice ponikalnih košar debeline 30 cm s peskom rizel granulacije 16/32 mm., natančnost izdelave posteljice je do +/-1 cm.</t>
  </si>
  <si>
    <t>22 004</t>
  </si>
  <si>
    <t>Izdelava temeljne plasti posteljice debeline 10-15 cm z 2 x sejanim peskom, s planiranjem in strojnim utrjevanjem do 95% po standardnem Procterjovem postopku, natančnost izdelave posteljice je do +/-1 cm.</t>
  </si>
  <si>
    <t>Urejanje planuma temeljnih tal izkopa za ponikalne košare ter planiranje s točnostjo do +/-3 cm po projektiranem naklonu.</t>
  </si>
  <si>
    <t>S skup</t>
  </si>
  <si>
    <t>Urejanje planuma posteljice ter planiranje s točnostjo do +/-3 cm po projektiranem naklonu.</t>
  </si>
  <si>
    <t>Vzas</t>
  </si>
  <si>
    <t>Vdzas</t>
  </si>
  <si>
    <t>NASIPI, ZASIPI</t>
  </si>
  <si>
    <t>Vdkoš</t>
  </si>
  <si>
    <t>% Izk</t>
  </si>
  <si>
    <t>Vpost</t>
  </si>
  <si>
    <t>Hdren</t>
  </si>
  <si>
    <t>Vizk</t>
  </si>
  <si>
    <t>D</t>
  </si>
  <si>
    <t>Svrh</t>
  </si>
  <si>
    <t>S</t>
  </si>
  <si>
    <t>Hizk</t>
  </si>
  <si>
    <t>H</t>
  </si>
  <si>
    <t>42 011</t>
  </si>
  <si>
    <t>Sdvrh</t>
  </si>
  <si>
    <t>Htamp</t>
  </si>
  <si>
    <t>b/  mehka kamnina IV. kategorije cca. 60%</t>
  </si>
  <si>
    <t>42 010</t>
  </si>
  <si>
    <t>Sdna</t>
  </si>
  <si>
    <t>KD</t>
  </si>
  <si>
    <t>a/  zemljina III. kategorije cca. 30%</t>
  </si>
  <si>
    <t>42 009</t>
  </si>
  <si>
    <t>Spon</t>
  </si>
  <si>
    <t>KT</t>
  </si>
  <si>
    <t>PON3</t>
  </si>
  <si>
    <t>PON2</t>
  </si>
  <si>
    <t>PON1</t>
  </si>
  <si>
    <t>Kombiniran izkop gradbene jame za vgrajevanje ponikalnih košar, globine do 3.0 m, s transportom materiala do 10 km na končno deponijo.</t>
  </si>
  <si>
    <t>c/  trda kamnina V. kategorije cca. 20%</t>
  </si>
  <si>
    <t>21 008</t>
  </si>
  <si>
    <t>b/  mehka kamnina IV. kategorije cca. 70%</t>
  </si>
  <si>
    <t>21 007</t>
  </si>
  <si>
    <t>a/  zemljina III. kategorije cca. 10%</t>
  </si>
  <si>
    <t>21 006</t>
  </si>
  <si>
    <t>Kombiniran izkop jarkov, globine 2-4 m, z odlaganjem izkopanega materiala 1m od roba izkopa.</t>
  </si>
  <si>
    <t>c/  trda kamnina V. kategorije cca. 5%</t>
  </si>
  <si>
    <t>b/  mehka kamnina IV. kategorije cca. 35%</t>
  </si>
  <si>
    <t>a/  zemljina III. kategorije cca. 60%</t>
  </si>
  <si>
    <t>Kombiniran izkop jarkov, globine 0-2 m, z odlaganjem izkopanega materiala 1m od roba izkopa.</t>
  </si>
  <si>
    <t>Ročni izkop ob obstoječih podzemnih inštalacijah, na mestih prevezav, križanj in približevanj. Izkop v zemlji III. Kat</t>
  </si>
  <si>
    <t>Površinski izkop plodne zemlje (humusa) z odrivom (obstoječo živico  je treba deponirati na gradbišču v skladu z normativi!)</t>
  </si>
  <si>
    <t>Opomba: Vsi obračuni izkopov in zasipov se obračunavajo v raščenem stanju!</t>
  </si>
  <si>
    <t>OPOMBA: Čiščenje terena, rušitve voziščnih konstrukcij in rekonstrukcija le teh, ter priprava in organizacija gradbišča je upoštevana v popisu načrta rušitev in zunanje ureditve!</t>
  </si>
  <si>
    <t>kom</t>
  </si>
  <si>
    <t>Postavitev gradbenih profilov na vzpostavljeno os trase cevovoda ter določitev nivoja za merjenje globine izkopa in polaganje cevovoda (cca. 1 kos na 30 dolžinskih m1).</t>
  </si>
  <si>
    <t>Identifikacija obstoječih podzemnih instalacij in komunalnih vodov s strani pooblaščenih predstavnijkov upravljalcev instalacij. (TELEKOM, JP Komunala, Elektro,...) z oznako križanj;</t>
  </si>
  <si>
    <t>Zakoličenje osi kanalizacije z zavarovanjem osi in oznako revizijskih jaškov.</t>
  </si>
  <si>
    <t>Skupaj gradbena dela:</t>
  </si>
  <si>
    <t>%</t>
  </si>
  <si>
    <t>Izdelava betonskega jaška dimenzij 2,0x2,0x1,8 m z izkopom v zemljišču III. ktg., z opaženjem, armiranjem, betoniranjem sten z C25/30, montažna krovna plošča C25/30 izdelana v betonarni ali na jašku z ločenim ležiščem stene, vgradnja tipskega kompozitnega pokrova brez dobave dim. 60x60 cm po navodilih proizvajalca, v enotni ceni upoštevati prevzem pokrova v skladišču Elektro Gorenjska d.d. v Kranju / Žirovnica, nosilnost pokrova 400 kN, ureditev okolice, čiščenje terena in odvoz odvečnega materiala na deponijo z vsemi stroški.</t>
  </si>
  <si>
    <t>Kompozitni pokrov 600x600 mm, 400 kN, SBR tesnenjem, z nerjavečim zaklepom</t>
  </si>
  <si>
    <t>m 1</t>
  </si>
  <si>
    <t>Kombiniran izkop v zemlji III. ktg dim. 0,9x1,3 m, niveliranje dna jarka, betoniranje betonske podlage 0,1 m, dobava in polaganje 6x160 mm PVC cevi z obbetoniranjem 0,1 m nad robom cevi z C12/15, zasip z izkopanim materialom z nabijanjem v plasteh, dobava in polaganje opozorilnega traku, čiščenje trase, nakladanje viška materiala na kamion in odvoz na deponijo z vsemi stroški.</t>
  </si>
  <si>
    <t>Samo polaganje ozemljitvenega traku v že izkopani jarek.</t>
  </si>
  <si>
    <t>Dodatek za prečkanje komunalnih, telekomunikacijskih, elektroenergetskih vodov in korenin, ograj, robnikov in podobnih ovir.</t>
  </si>
  <si>
    <t>Dodatek za pazljivi izkop po obstoječih kablih.</t>
  </si>
  <si>
    <t>Skupaj elektero material in delo:</t>
  </si>
  <si>
    <t>Ostali drobni material  (5%)</t>
  </si>
  <si>
    <t>Dobava ozemljitvenega valjanca:  Ozemljitveni valjanec 25x4 mm</t>
  </si>
  <si>
    <t>Dobava in izdelava SN spojke: Kabelska spojka 20 kV za kabel NA2XS(F)2Y 1x150 RM/25 mm², s kabelskimi tulci</t>
  </si>
  <si>
    <t>Dobava in polaganje SN energetskih kablov:                                            Kabel   NA2XS(F)2Y1x150 mm²  20 kV</t>
  </si>
  <si>
    <t>ELEKTRO MATERIAL IN DELO</t>
  </si>
  <si>
    <t>4.3</t>
  </si>
  <si>
    <t>4.5</t>
  </si>
  <si>
    <t>4.4</t>
  </si>
  <si>
    <t>Zaščita elektro vodov</t>
  </si>
  <si>
    <t>5.   OSTALO</t>
  </si>
  <si>
    <t>ARHITEKTURA REKAPITULACIJA</t>
  </si>
  <si>
    <t xml:space="preserve">              SKUPNA REKAPITULACIJA</t>
  </si>
  <si>
    <t>Postavitev gradbenih profilov na vzpostavljeno os trase cevovoda ter določitev nivoja za merjenje globine izkopa in polaganje cevovoda (cca. 1 kos na 10 dolžinskih m1).</t>
  </si>
  <si>
    <t>OPOMBA: Čiščenje terena, rušitvena dela, ter priprava in organizacija gradbišča je upoštevana v popisu načrta rušitev in zunanje ureditve!</t>
  </si>
  <si>
    <t>Izdelava vodotesnih revizijskih jaškov globine od 0 do 2 m iz betonske cevi fi 80 cm, z napravo AB temelja in venca, obdelavo vtoka v jašek ter z vgraditvijo LTŽ pokrova s tesnenjem dim. 60/60 cm razreda C250;</t>
  </si>
  <si>
    <t>Izdelava vodotesnih revizijskih jaškov globine od 2 do 4 m iz betonske cevi fi 100 cm, z napravo AB temelja in venca, obdelavo vtoka v jašek ter z vgraditvijo LTŽ pokrova s tesnenjem dim. 60/60 cm razreda C250;</t>
  </si>
  <si>
    <t>Izvedba priključevanja novega kanala DN200 na obstoječi obstoječi revizijski jašek priključnega voda, z vrtanjem jaška izdelavo in montažo vključno z dobavo vsega spojnega materiala in tesnitvijo. Izdelava podslapja DN200 višine 2.2 m, vključno z dobavo in montažo. Dobava in vgradnja novega LTŽ pokrova s tesnenjem dim. 60/60 (vključno z betonskim vencem, prilagoditev na nov teren).</t>
  </si>
  <si>
    <t>61 004</t>
  </si>
  <si>
    <t>Izdelava PID dokumentacije vključno z geodetskim posnetkom novega stanja.</t>
  </si>
  <si>
    <t>Preizkus vodotesnosti kanalizacijskih jaškov iz betonskih cevi po veljavnih standardih.</t>
  </si>
  <si>
    <t>Preizkus vodotesnosti kanalizacijskih cevi po veljavnih standardih:</t>
  </si>
  <si>
    <t>OGREVANJE</t>
  </si>
  <si>
    <t>VODOVODNA INSTALACIJA</t>
  </si>
  <si>
    <t>PREZRAČEVANJE</t>
  </si>
  <si>
    <t>Poz.</t>
  </si>
  <si>
    <t>Opis dela oz. dobave</t>
  </si>
  <si>
    <t>enota</t>
  </si>
  <si>
    <t>cena / enoto</t>
  </si>
  <si>
    <t>Skupaj [€]</t>
  </si>
  <si>
    <t xml:space="preserve">OGREVANJE </t>
  </si>
  <si>
    <t>OPOMBA: Pred naročilom preveriti število opreme in preveriti ustreznost pri proizvajalcu.</t>
  </si>
  <si>
    <t>Pred izdelavo ponudbe naj si ponudnik pridobi ustrezne informacije s strani predstavnikov investitorja, nadzora oz. projektanta. Material in oprema morata biti najboljše kvalitete, ustrezati predpisanim standardom o kvaliteti in izvedbi, opremljena z vsemi potrebnimi certifikati in garancijskimi listi ter zaščitena proti mehanskim poškodbam. Skupaj z opremo je potrebno dostaviti tudi vsa tehnična navodila za servisiranje in upravljanje posameznih elementov. V popisu so upoštevani dobava in vgradnja vseh elementov s pomožnim materialom.</t>
  </si>
  <si>
    <t>Dobava in montaža električnega panelnega radiatorja, U=230 V, bele barve stekleni, višina 330 mm, globina 87 mm. Panelni stenski radiator H30 v beli barvi z instalacijsko dozo, kablom in vtikačem 230V. Zaščita: IP24.</t>
  </si>
  <si>
    <t>Ustreza proizvod proizvajalca GLAMOX, oz. proizvod drugega proizvajalca enakih ali boljših karakteristik.</t>
  </si>
  <si>
    <r>
      <t xml:space="preserve">tip </t>
    </r>
    <r>
      <rPr>
        <b/>
        <sz val="11"/>
        <rFont val="Arial"/>
        <family val="2"/>
        <charset val="238"/>
      </rPr>
      <t>H 30 H 08 KDT</t>
    </r>
    <r>
      <rPr>
        <sz val="11"/>
        <rFont val="Arial"/>
        <family val="2"/>
        <charset val="238"/>
      </rPr>
      <t>; L= 704 mm, el. moč 800W</t>
    </r>
  </si>
  <si>
    <t>Izvedba meritev temperatur prostorov.</t>
  </si>
  <si>
    <t>Sodelovanje z izvajalci elektro instalacij, funkcionalni zagon, poskusno obratovanje.</t>
  </si>
  <si>
    <t>Pripravljalna dela, zarisovanje, pregled, zaključna dela.</t>
  </si>
  <si>
    <t>Čiščenje po končanih delih.</t>
  </si>
  <si>
    <t>Izdelava načrta izvedenih del (PID) v 3x izvodih, pri čemer kot osnova za izdelavo služijo vrisane in potrjene spremembe med gradnjo s strani odgovornega nadzornika. Načrtu je potrebno priložiti projekt za obratovanje in vzdrževanje (kratka navodila), za posamezne sklope pa izvajalec preda navodila direktno investitorju.</t>
  </si>
  <si>
    <t>Transportni, manipulativni stroški in nepredvidena dela so zajeta v ceni elementov sistema ogrevanja.</t>
  </si>
  <si>
    <t>NETO [€]:</t>
  </si>
  <si>
    <t>22% DDV:</t>
  </si>
  <si>
    <t>SKUPAJ [€]:</t>
  </si>
  <si>
    <t xml:space="preserve">INTERNA VODOVODNA INSTALACIJA </t>
  </si>
  <si>
    <t>OPOMBA: Pred naročilom preveriti število opreme in preveriti ustreznost pri proizvajalcu.
Pred izdelavo ponudbe naj si ponudnik pridobi ustrezne informacije s strani predstavnikov investitorja. Material in oprema morata biti najboljše kvalitete, ustrezati predpisanim standardom o kvaliteti in izvedbi, opremljena z vsemi potrebnimi certifikati in garancijskimi listi ter zaščitena proti mehanskim poškodbam. Skupaj z opremo je potrebno dostaviti tudi vsa tehnična navodila za servisiranje in upravljanje posameznih elementov. V popisu so upoštevani dobava in vgradnja vseh elementov s pomožnim materialom.</t>
  </si>
  <si>
    <t>Priklop novega razvoda hladne sanitarne vode na puščen odcep priključka hladne vode pri tleh.</t>
  </si>
  <si>
    <t>Kompletno stranišče sestoječe iz:</t>
  </si>
  <si>
    <t>konzolne WC školjke iz sanitarne keramike I. klase s stenskim iztokom,</t>
  </si>
  <si>
    <t>lesene, plastificirane sedežne deske s pokrovom, vključno s ponikljanimi ležaji in vijaki ter gumijasto manšeto in odbijači,</t>
  </si>
  <si>
    <t>kotnim regulirnim ventilom DN 15, vključno z zidno rozeto in pokromano fleksibilno cevjo fi10 mm, dolžine cca. 40 cm,</t>
  </si>
  <si>
    <t>držala za toaletni papir vključno z pritrdilnim materialom,</t>
  </si>
  <si>
    <t>kompletno z vsem montažnim, pritrdilnim in tesnilnim materialom.</t>
  </si>
  <si>
    <t>Pred nabavo oz. naročilom  predvidene opreme je potrebno dobiti pisno potrditev z strani arhitekta oz. investitorja.</t>
  </si>
  <si>
    <t>Duofix element za stenski WC s PO splakovalnikom Sigma (UP320), h=112 cm</t>
  </si>
  <si>
    <t xml:space="preserve">Za vgradnjo v suhomontažne stenske ali predstenske instalacije, obložene z mavčnimi kartonskimi ploščami. Za nadgradnjo na obstoječa tla 0-20 cm. Za stenski WC s pritrditvijo školjke z osno razdaljo 18 ali 23 cm. Za priključitev Geberit AquaClean </t>
  </si>
  <si>
    <t xml:space="preserve">Priključek vode v sredini, zadaj ali zgoraj 
• Sigma (UP320) podometni splakovalnik z aktiviranjem spredaj 
• Dvokoličinsko splakovanje z aktivirnimi tipkami Sigma80, Sigma60, Sigma50, Sigma20, Sigma01 ali Bolero 
• Start stop splakovanje z aktivirnimi tipkami Sigma10, Mambo, Tango 
• Nastavljiva splakovalna količina 
• Podometni splakovalnik za montažo in servis brez orodja 
• Vgradna zaščita za servisno odprtino se lahko inštalira in reže na dimenzijo brez orodja 
• Vgradna zaščita varuje servisno odprtino pred vlago in umazanijo 
• Potisne palice so zvočno izolirane, hitra montaža brez orodja 
• Možna inštalacija in uporaba univerzalnega priključka vode MeplaFix brez orodja 
• Možno privitje priključne gibljive cevi do kotnega ventila brez orodja </t>
  </si>
  <si>
    <t>• Pritrditev odtočnega kolena brez orodja, zvočno izolirana, po globini nastavljiva na 8 položajev, v območju 45 mm 
• Samozaviralne nogice, za nastavitev elementa po višini brez orodja 
• Noge cinkane, brezstopenjsko nastavljive 0-20 cm 
• Možnost montaže manjših stenskih keramičnih školjk z uporabo dodatnega pribora 
• Okvir s C-profilom 4/4 cm 
• Vrtljiva nožna plošča za vgradnjo v U-stenske profile UW 50 in UW 75</t>
  </si>
  <si>
    <t>Geberit Duofix element za stenski WC s PO splakovalnikom Sigma (UP320), h=112 cm številka artikla 111.311.00.5 ali enakovredno. Pred nabavo oz. naročilom  predvidene opreme je potrebno dobiti pisno potrditev z strani arhitekta oz. investitorja.</t>
  </si>
  <si>
    <t>Aktivirna tipka za dvokoličinsko splakovanje za aktiviranje spredaj, Za uporabo s Sigma (UP300, UP320, UP700 in UP720) podometnimi splakovalniki.</t>
  </si>
  <si>
    <t>Geberit aktivirna tipka Sigma01 številka artikla 115.770.11.5 ali enakovredno. Pred nabavo oz. naročilom  predvidene opreme je potrebno dobiti pisno potrditev z strani arhitekta oz. investitorja.</t>
  </si>
  <si>
    <t xml:space="preserve">Kompleten umivalnik sestoječ iz: </t>
  </si>
  <si>
    <t>montaža na konzole</t>
  </si>
  <si>
    <r>
      <t>dimenzije 50</t>
    </r>
    <r>
      <rPr>
        <sz val="11"/>
        <rFont val="Arial CE"/>
        <charset val="238"/>
      </rPr>
      <t>0 x 300 mm</t>
    </r>
  </si>
  <si>
    <t xml:space="preserve">umivalnik iz keramike I. klase </t>
  </si>
  <si>
    <r>
      <t xml:space="preserve">medeninastim pokromanim odtočnim ventilom </t>
    </r>
    <r>
      <rPr>
        <sz val="11"/>
        <rFont val="Symbol"/>
        <family val="1"/>
        <charset val="2"/>
      </rPr>
      <t>f</t>
    </r>
    <r>
      <rPr>
        <sz val="11"/>
        <rFont val="Microsoft Sans Serif"/>
        <family val="2"/>
        <charset val="238"/>
      </rPr>
      <t xml:space="preserve"> 32 mm s čepom na verižici,</t>
    </r>
  </si>
  <si>
    <r>
      <t xml:space="preserve">medeninastim pokromanim "S" sifonom </t>
    </r>
    <r>
      <rPr>
        <sz val="11"/>
        <rFont val="Symbol"/>
        <family val="1"/>
        <charset val="2"/>
      </rPr>
      <t>f</t>
    </r>
    <r>
      <rPr>
        <sz val="11"/>
        <rFont val="Microsoft Sans Serif"/>
        <family val="2"/>
        <charset val="238"/>
      </rPr>
      <t xml:space="preserve"> 32 z zidno rozeto,</t>
    </r>
  </si>
  <si>
    <t xml:space="preserve">Pred nabavo oz. naročilom  predvidene opreme je potrebno dobiti pisno potrditev z strani arhitekta oz. investitorja. </t>
  </si>
  <si>
    <t>NAVADNA - ROČNA ARMATURA ZA UMIVALNIK: kot npr. HERZ, UNITAS, FRESH, F10, krom ali enakovredno</t>
  </si>
  <si>
    <t>Element Geberit Duofix za umivalnik, 112 cm, stoječa armatura</t>
  </si>
  <si>
    <t>Namen uporabe</t>
  </si>
  <si>
    <t>Za suho-montažno gradnjo
Za zidane stene
Za vgradnjo v predstenske instalacije, delne višine ali v višini prostora
Za vgradnjo v instalacijske stene, v višini prostora
Za vgradnjo v sistemske stene Geberit Duofix, delne višine ali v višini prostora
Za montažo umivalnikov
Za stoječe armature
Za talne nadgradnje 0–20 cm</t>
  </si>
  <si>
    <t>Lastnosti</t>
  </si>
  <si>
    <t>Samonosno ogrodje, površinsko obdelano s praškanjem
Ogrodje z izvrtanimi luknjami ø 9 mm za pritrditev pri leseni montažni gradnji
Nožna podpora, cinkana, nastavljiva 0–20 cm
Nožna podpora z elementom proti drsenju
Vrtljive nožne plošče, globina ustreza za vgradnjo v U-profile UW 50 in UW 75 sistemske tračnice Geberit Duofix
Razdalja pri pritrditvi umivalnika 5–38 cm
Pritrditev za priključno koleno, višinsko nastavljiva in zvočno izolirana
Armaturna plošča, višinsko in globinsko nastavljiva
Samolepljiva tesnilna ploščica, prevlečena s kopreno
Zaščitni čep za tlačne teste s hladno vodo do maksimalno 15 bar/1500 kPa</t>
  </si>
  <si>
    <t>Obseg dobave</t>
  </si>
  <si>
    <t>2 pritrdilna kotnika
2 priključni koleni R 1/2, možnost MeplaFix
2 tesnilni plošči
2 podlogi za zvočno izolacijo
2 izolacijska tulca
Priključno koleno iz polietilena visoke gostote, ø 50 mm
Tesnilo, ø 44/32 mm
2 zaščitna čepa
2 navojni palici M10
Pritrdilni material</t>
  </si>
  <si>
    <t>Geberit Duofix element za umivalnik številka artikla 111.436.00.1 ali enakovredno. Pred nabavo oz. naročilom  predvidene opreme je potrebno dobiti pisno potrditev z strani arhitekta oz. investitorja.</t>
  </si>
  <si>
    <r>
      <rPr>
        <b/>
        <sz val="11"/>
        <rFont val="Arial"/>
        <family val="2"/>
        <charset val="238"/>
      </rPr>
      <t>Ogledalo</t>
    </r>
    <r>
      <rPr>
        <sz val="11"/>
        <rFont val="Arial"/>
        <family val="2"/>
        <charset val="238"/>
      </rPr>
      <t xml:space="preserve"> iz valjanega stekla, ogledalo brušeni robovi, kaširano na beli iveral 10mm z ABS trakomin vijaki za pritrditev.</t>
    </r>
  </si>
  <si>
    <t>Pred naročilom je potrebno tip uskladiti s projektantom arhitekture oziroma investitorjem.</t>
  </si>
  <si>
    <t>okvirno 650 x 1000 mm</t>
  </si>
  <si>
    <r>
      <t xml:space="preserve">Dobava in montaža </t>
    </r>
    <r>
      <rPr>
        <b/>
        <sz val="11"/>
        <rFont val="Arial"/>
        <family val="2"/>
        <charset val="238"/>
      </rPr>
      <t>poličke etažere</t>
    </r>
    <r>
      <rPr>
        <sz val="11"/>
        <rFont val="Arial"/>
        <family val="2"/>
      </rPr>
      <t xml:space="preserve"> iz keramike prve kvalitete.</t>
    </r>
  </si>
  <si>
    <t>600 x 135 mm</t>
  </si>
  <si>
    <r>
      <rPr>
        <b/>
        <sz val="11"/>
        <rFont val="Arial"/>
        <family val="2"/>
        <charset val="238"/>
      </rPr>
      <t>Kromirana stenska obešalna kljuka</t>
    </r>
    <r>
      <rPr>
        <sz val="11"/>
        <rFont val="Arial"/>
        <family val="2"/>
        <charset val="238"/>
      </rPr>
      <t>, komplet z vsem pritrdilnim materialom.</t>
    </r>
  </si>
  <si>
    <t>Bobrick, art. 682</t>
  </si>
  <si>
    <r>
      <t xml:space="preserve">Pokromano </t>
    </r>
    <r>
      <rPr>
        <b/>
        <sz val="11"/>
        <rFont val="Arial"/>
        <family val="2"/>
        <charset val="238"/>
      </rPr>
      <t>držalo za brisače</t>
    </r>
    <r>
      <rPr>
        <sz val="11"/>
        <rFont val="Arial"/>
        <family val="2"/>
      </rPr>
      <t>, komplet z vijaki za pritrditev.</t>
    </r>
  </si>
  <si>
    <t>Bobrick art. 2620</t>
  </si>
  <si>
    <r>
      <t xml:space="preserve">Dobava in vgradnja </t>
    </r>
    <r>
      <rPr>
        <b/>
        <sz val="11"/>
        <rFont val="Arial"/>
        <family val="2"/>
        <charset val="238"/>
      </rPr>
      <t>stenskega milnika</t>
    </r>
    <r>
      <rPr>
        <sz val="11"/>
        <rFont val="Arial"/>
        <family val="2"/>
      </rPr>
      <t>, komplet z držali in vijaki.</t>
    </r>
  </si>
  <si>
    <t>Bobrick art. 2111</t>
  </si>
  <si>
    <r>
      <t>Dobava in montaža</t>
    </r>
    <r>
      <rPr>
        <b/>
        <sz val="11"/>
        <rFont val="Arial"/>
        <family val="2"/>
        <charset val="238"/>
      </rPr>
      <t xml:space="preserve"> tlačnega električnega grelnika sanitarne vode</t>
    </r>
    <r>
      <rPr>
        <sz val="11"/>
        <rFont val="Arial"/>
        <family val="2"/>
      </rPr>
      <t>, za pritrditev pod umivalnik vključno z električno vezavo, pritrdilnim, tesnilnim in elektro vezalnim materialom.</t>
    </r>
  </si>
  <si>
    <t>volumen 5 lit;</t>
  </si>
  <si>
    <t>dim.: v396/š256/g260 mm</t>
  </si>
  <si>
    <t>2000W/230V~1/50Hz/8,7A</t>
  </si>
  <si>
    <t>Ustreza grelnik proizvajalca Gorenje oziroma proizvod drugega proizvajalca enakih ali boljših karakteristik.</t>
  </si>
  <si>
    <t>GORENJE tip GT 5 U</t>
  </si>
  <si>
    <r>
      <rPr>
        <b/>
        <sz val="11"/>
        <rFont val="Arial"/>
        <family val="2"/>
        <charset val="238"/>
      </rPr>
      <t xml:space="preserve">Varnostni ventil </t>
    </r>
    <r>
      <rPr>
        <sz val="11"/>
        <rFont val="Arial"/>
        <family val="2"/>
        <charset val="238"/>
      </rPr>
      <t xml:space="preserve">vgrajen </t>
    </r>
    <r>
      <rPr>
        <sz val="11"/>
        <rFont val="Arial"/>
        <family val="2"/>
      </rPr>
      <t>ob električnem grelniku vode na cevi hladne vode.</t>
    </r>
  </si>
  <si>
    <t>DN15</t>
  </si>
  <si>
    <r>
      <t xml:space="preserve">Dobava in montaža </t>
    </r>
    <r>
      <rPr>
        <b/>
        <sz val="11"/>
        <rFont val="Arial"/>
        <family val="2"/>
        <charset val="238"/>
      </rPr>
      <t>protipovratnega ventila</t>
    </r>
    <r>
      <rPr>
        <sz val="11"/>
        <rFont val="Arial"/>
        <family val="2"/>
      </rPr>
      <t>, vgrajenega ob električnem grelniku vode na cevi hladne vode. vključno s tesnilnim in pritrdilnim materialom.</t>
    </r>
  </si>
  <si>
    <t>Dobava in montaža regulacijskega ventila za sannitarno vodo, z vsem potrebnim tesnilnim in pritrdilnim materialom.</t>
  </si>
  <si>
    <t>Dobava in vgradnja zapornega ventila za vodo do 90°C, PN 10, navojni skupaj s pritrdilnim ter tesnilnim materialom.</t>
  </si>
  <si>
    <t>Dobava in montaža prehodnega kosa skupaj s pritrdilnim ter tesnilnim materialom.</t>
  </si>
  <si>
    <t>PE d20 / Un Ø20</t>
  </si>
  <si>
    <r>
      <rPr>
        <b/>
        <sz val="11"/>
        <rFont val="Arial"/>
        <family val="2"/>
        <charset val="238"/>
      </rPr>
      <t>Univerzalna MLC večplastna cev predizolirana s toplotno izolacijo debeline 9 mm za hladno vodo in deževnico</t>
    </r>
    <r>
      <rPr>
        <sz val="11"/>
        <rFont val="Arial"/>
        <family val="2"/>
        <charset val="238"/>
      </rPr>
      <t xml:space="preserve"> skladno s standardom DIN 1988-2. Okroglo ekstruditrana cevna izolacija izdelana iz polietilenske pene z zaprto celično strukturo. Stopnja toplotne prevodnosti 040, s čvrsto, brezšivno zunanjo folijo. Normalno vnetljivo, klasifikacija materiala B2 skladno s standardom DIN4102. 
Vključno z vsemi fazonskimi kosi oziroma potrebnimi PF kosi (T kos – enakokraki, reducirnimi kosi, kolena 90°, kolena 45°... itd.), z vsem pritrdilnim in tesnilnim materialom, takoj po montaži zaščitene s cementno malto.</t>
    </r>
  </si>
  <si>
    <t>Ustreza predizolirana UNIPIPE  Uponor MLC cev, dobavitelj TITAN Kamnik d.d.</t>
  </si>
  <si>
    <t>Ø20x2,25</t>
  </si>
  <si>
    <r>
      <rPr>
        <b/>
        <sz val="11"/>
        <rFont val="Arial"/>
        <family val="2"/>
        <charset val="238"/>
      </rPr>
      <t>Univerzalna</t>
    </r>
    <r>
      <rPr>
        <sz val="11"/>
        <rFont val="Arial"/>
        <family val="2"/>
        <charset val="238"/>
      </rPr>
      <t xml:space="preserve"> </t>
    </r>
    <r>
      <rPr>
        <b/>
        <sz val="11"/>
        <rFont val="Arial"/>
        <family val="2"/>
        <charset val="238"/>
      </rPr>
      <t>večplastna cev predizolirana s toplotno izolacijo debeline 13 mm za toplo vodo in cirkulacijo</t>
    </r>
    <r>
      <rPr>
        <sz val="11"/>
        <rFont val="Arial"/>
        <family val="2"/>
        <charset val="238"/>
      </rPr>
      <t xml:space="preserve"> skladno s standardom DIN 1988-2. Okroglo ekstruditrana cevna izolacija izdelana iz polietilenske pene z zaprto celično strukturo. Stopnja toplotne prevodnosti 040, s čvrsto, brezšivno zunanjo folijo. Normalno vnetljivo, klasifikacija materiala B2 skladno s standardom DIN4102. 
Vključno z vsemi fazonskimi kosi oziroma potrebnimi PF kosi (T kos – enakokraki, reducirnimi kosi, kolena 90°, kolena 45°... itd.), z vsem pritrdilnim in tesnilnim materialom, takoj po montaži zaščitene s cementno malto.</t>
    </r>
  </si>
  <si>
    <r>
      <t xml:space="preserve">Dobava in montaža </t>
    </r>
    <r>
      <rPr>
        <b/>
        <sz val="11"/>
        <rFont val="Arial"/>
        <family val="2"/>
        <charset val="238"/>
      </rPr>
      <t>PVC kanalizacijske cevi</t>
    </r>
    <r>
      <rPr>
        <sz val="11"/>
        <rFont val="Arial"/>
        <family val="2"/>
        <charset val="238"/>
      </rPr>
      <t xml:space="preserve"> s fazonskimi kosi, kolena, odcepi, čistilni kosi, vključno s pritrdilnim, tesnilnim ter vsem pripadajočim materialom.</t>
    </r>
  </si>
  <si>
    <t>Ø 50</t>
  </si>
  <si>
    <t>Ø 75</t>
  </si>
  <si>
    <t>Ø 110</t>
  </si>
  <si>
    <t>Kovinska fasadna zaščitna rešetka za odvod zraka iz sanitarij. Z vsem pritrdilnim in tesnilnim materialom.</t>
  </si>
  <si>
    <t>RAL lestvico barve določi arhitekt.</t>
  </si>
  <si>
    <t>∅75</t>
  </si>
  <si>
    <t>Priključitev fekalne kanalizacije sanitarnih elementov na fekalno kanalizacijo v tlaku, z vsem pritrdilnim in tesnilnim materialom in fazonskimi kosi.</t>
  </si>
  <si>
    <t>sanitarni elementi v kleti</t>
  </si>
  <si>
    <t>Dobava in postavitev betonskega zunanjega  jaška (fi 300 mm) in gradbeno dokončanje po montaži, vključno z rebrastim LTŽ pokrovom jaška fi 300 mm.</t>
  </si>
  <si>
    <t>Izdelava preboja skozi vodomerni jašek za montažo zaščitne cevi (Ø25x100 mm), priključne cevi in interne instalacije (Ø20x150 mm).</t>
  </si>
  <si>
    <t>prehodni kos, PN10.</t>
  </si>
  <si>
    <t>PEd20/∅20x2</t>
  </si>
  <si>
    <t>Dobava pipe krogelne z izpustom R3/4.</t>
  </si>
  <si>
    <t>Dobava spojnega in tesnilnega materiala.</t>
  </si>
  <si>
    <t>Vrtanje lukenj, izdelava različnih utorov, kinet in druga gradbena dela za nemoteno izvedbo instalacije  sanitarne vode in kanalizacije.</t>
  </si>
  <si>
    <t>Dobava in montaža konstrukcije iz profilnega jekla  antikorozijsko zaščitenega za podpore, obešala ter posebne pritrditve, vključno s pritrdilnim materialom, z osnovnim premazom.</t>
  </si>
  <si>
    <t>Tesnenje vseh odprtin prebojev negorljivih cevi z izolacijo požarne odpornosti do 120 minut. (Točno število preveriti na objektu ob izvedbi)</t>
  </si>
  <si>
    <t>Zaščitno barvanje vseh nezaščitenih delov sistema (obešala, nosilni material) po predhodnem čiščenju in grundiranju.</t>
  </si>
  <si>
    <r>
      <t>m</t>
    </r>
    <r>
      <rPr>
        <vertAlign val="superscript"/>
        <sz val="11"/>
        <rFont val="Arial"/>
        <family val="2"/>
        <charset val="238"/>
      </rPr>
      <t>2</t>
    </r>
  </si>
  <si>
    <t>Preizkus tesnosti cevne instalacije hladne sanitarne vode, izdaja potrdila.</t>
  </si>
  <si>
    <t>Preizkus tesnosti fekalne kanalizacije, izdaja potrdila.</t>
  </si>
  <si>
    <t>Poskusno obratovanje.</t>
  </si>
  <si>
    <t>Dobava in vgradnja napisnih ploščic za označitev elementov, vključno z napisi in pritrdilnim materialom.</t>
  </si>
  <si>
    <t>Čiščenje cevne instalacije tople in hladne vode, izvedba klornega šoka oziroma dezinfekcije instalacije, izdaja potrdila s strani pooblaščene institucije.</t>
  </si>
  <si>
    <t>Pripravljalna  dela, zarisovanje, tlačna preizkušnja regulacija armature, zaključna dela.</t>
  </si>
  <si>
    <t>Funkcijska navodila za obratovanje in vzdrževanje sistema ter izdelava tehnične dokumentacije po ZGO-1.</t>
  </si>
  <si>
    <t>Preizkus hidrantnega omrežja sestavljen iz pregleda dokumentacije in preizkusa hidrantnega omrežja ter izdaja pisnega poročila po opravljenem preizkusu</t>
  </si>
  <si>
    <t>Pregled in žigosanje gasilnih aparatov in hidrantov s strani pooblaščene organizacije.</t>
  </si>
  <si>
    <t>Transportni, manipulativni stroški so zajeti v ceni elementov ogrevnega in hladinega sistema.</t>
  </si>
  <si>
    <r>
      <t>Dobava in montaža</t>
    </r>
    <r>
      <rPr>
        <b/>
        <sz val="11"/>
        <rFont val="Arial"/>
        <family val="2"/>
        <charset val="238"/>
      </rPr>
      <t xml:space="preserve"> stenskega lokalnega ventilatorja</t>
    </r>
    <r>
      <rPr>
        <sz val="11"/>
        <rFont val="Arial"/>
        <family val="2"/>
        <charset val="238"/>
      </rPr>
      <t>, s protipovratno loputo, vključno z zakasnitveno avtomatiko, električno povezavo, tesnilnim, pritrdilnim ter vsem pripadajočim materialom ter zagonom. Vklop ventilatorja preko stikala za prižiganje luči predmetnih prostorov, in izklop pa preko zakasnitvene avtomatike v sklopu ventilatorja.</t>
    </r>
  </si>
  <si>
    <t>količina, tlačni padec</t>
  </si>
  <si>
    <t>q=40m3/h, Dp=20Pa</t>
  </si>
  <si>
    <t>q=60m3/h, Dp=30Pa</t>
  </si>
  <si>
    <t>21W/0,17A/230V~1/50Hz</t>
  </si>
  <si>
    <t>Kompletno z zagonom in nastavitvijo.</t>
  </si>
  <si>
    <t>Ustreza proizvod proizvajalca MELTEM oz. proizvod drugih proizvajalcev enakih ali boljših karakteristik.</t>
  </si>
  <si>
    <r>
      <rPr>
        <sz val="11"/>
        <rFont val="Arial"/>
        <family val="2"/>
        <charset val="238"/>
      </rPr>
      <t>tip</t>
    </r>
    <r>
      <rPr>
        <b/>
        <sz val="11"/>
        <rFont val="Arial"/>
        <family val="2"/>
        <charset val="238"/>
      </rPr>
      <t xml:space="preserve"> VARIO V-40/60</t>
    </r>
  </si>
  <si>
    <r>
      <t xml:space="preserve">PVC cev </t>
    </r>
    <r>
      <rPr>
        <sz val="11"/>
        <rFont val="Arial"/>
        <family val="2"/>
        <charset val="238"/>
      </rPr>
      <t>za odvod onesnaženega zraka iz stanovanj, z vsemi fazonskimi kosi, z pritrdilnim in tesnilnim materialom, dobavo in montažo.</t>
    </r>
  </si>
  <si>
    <t>∅100</t>
  </si>
  <si>
    <r>
      <rPr>
        <b/>
        <sz val="11"/>
        <rFont val="Arial"/>
        <family val="2"/>
        <charset val="238"/>
      </rPr>
      <t>Aluminijasta vratna rešetka</t>
    </r>
    <r>
      <rPr>
        <sz val="11"/>
        <rFont val="Arial"/>
        <family val="2"/>
      </rPr>
      <t xml:space="preserve"> z okvirjem in protiokvirjem, prirejena za vgradnjo v vrata skupaj s tesnilnim in montažnim materialom.</t>
    </r>
  </si>
  <si>
    <t>Ustreza proizvod IMP Klima Idria oz. proizvod drugega proizvajalca enakih ali boljših karakteristik.</t>
  </si>
  <si>
    <r>
      <rPr>
        <sz val="11"/>
        <rFont val="Arial"/>
        <family val="2"/>
        <charset val="238"/>
      </rPr>
      <t>tip</t>
    </r>
    <r>
      <rPr>
        <b/>
        <sz val="11"/>
        <rFont val="Arial"/>
        <family val="2"/>
      </rPr>
      <t xml:space="preserve"> AR-4P </t>
    </r>
    <r>
      <rPr>
        <sz val="11"/>
        <rFont val="Arial"/>
        <family val="2"/>
        <charset val="238"/>
      </rPr>
      <t>dim.:</t>
    </r>
    <r>
      <rPr>
        <b/>
        <sz val="11"/>
        <rFont val="Arial"/>
        <family val="2"/>
      </rPr>
      <t xml:space="preserve"> 225x125</t>
    </r>
  </si>
  <si>
    <t>Toplotna izolacija zračnih kanalov debeline 6 mm, z naslednjimi karakteristikami:</t>
  </si>
  <si>
    <t>Dobava in montaža Armaflex XG elastomerne fleksibilne izolacije na osnovi sintetičnega kavčuka za izolacijo cevovodov, zračnih kanalov, rezervoarjev, ventilov, fitingov, prirobnic v hladilni in klimatski tehniki in procesni industriji za preprečevanje kondenzacije in energijske prihranke. EU požarna klasifikacija B-s3,d0; toplotna prevodnost λ pri 0°C je 0,036 W/m.K ( plošče debeline 6mm do 25mm in cevi debeline 6mm do 25mm; za ostale debeline cevi in plošč je  λ pri 0°C  0,038 W/m.K; koef. upora difuziji vodne pare je 10.000; za temp. območje od -50°C  do  +110°C; trakovi in plošče lepljeni na površino do maks. +85°C. Toplotne mostove potrebno zaščititi s cevnimi nosilci Armafix AF  oziroma Armafix X. Spoje (vzdožne, prečne, površino) potrebno lepiti z original Armaflex lepilom,  za čiščenje orodja, rok in razmaščevanje pa Armaflex Čistilo. CE certifikat v skladu z EN 14304. Na zunanjih instalacijah je izolacijo potrebno zaščititi z:  Armafinish 99 - zaščitni premaz v beli in sivi barvi  ali z oblogo Arma-Chek.</t>
  </si>
  <si>
    <t>Komplet z dobavo in montažo.</t>
  </si>
  <si>
    <t>Ustreza proizvod Armacell Armaflex XG oz. proizvod enakih ali boljših karakteristik.</t>
  </si>
  <si>
    <r>
      <rPr>
        <sz val="11"/>
        <rFont val="Arial"/>
        <family val="2"/>
        <charset val="238"/>
      </rPr>
      <t>tip</t>
    </r>
    <r>
      <rPr>
        <b/>
        <sz val="11"/>
        <rFont val="Arial"/>
        <family val="2"/>
        <charset val="238"/>
      </rPr>
      <t xml:space="preserve"> XG-6-99/E</t>
    </r>
  </si>
  <si>
    <r>
      <t>m</t>
    </r>
    <r>
      <rPr>
        <vertAlign val="superscript"/>
        <sz val="11"/>
        <rFont val="Arial CE"/>
        <family val="2"/>
        <charset val="238"/>
      </rPr>
      <t>2</t>
    </r>
  </si>
  <si>
    <t>Izolacija vseh kanalov, ki niso izolirani, pri prehodu skozi gradbeno konstrukcijo zaradi prenosa hrupa in vibracij, vključno s pritrdilnim materialom.</t>
  </si>
  <si>
    <t>Izvedba preizkusnega obratovanja v obsegu:</t>
  </si>
  <si>
    <t>- delovanje ventilatorjev,</t>
  </si>
  <si>
    <t>- delovanje avtomatske regulacije,</t>
  </si>
  <si>
    <t>- pregled delovanja ventilatorjev in elementov regulacije.</t>
  </si>
  <si>
    <t>ARHITEKTURA</t>
  </si>
  <si>
    <t>ZUNANJA UREDITEV</t>
  </si>
  <si>
    <t>PADAVINSKA VODA</t>
  </si>
  <si>
    <t>SANITARNA VODA</t>
  </si>
  <si>
    <t>STROJNE INŠTALACIJE</t>
  </si>
  <si>
    <t>VODOVOD</t>
  </si>
  <si>
    <t xml:space="preserve">Zavarovanje zakoličene osi cevovoda, lomnih točk ter postavitev prečnih profilov iz desk s potrebnimi višinami </t>
  </si>
  <si>
    <t xml:space="preserve">Postavitev gradbenih profilov na vzpostavljeno os trase cevovoda ter določitev nivoja za merjenje globine izkopa in polaganje cevovoda </t>
  </si>
  <si>
    <t>OPOMBA: Rušitve voziščnih konstrukcij in rekonstrukcija le teh, ter priprava in organizacija gradbišča je upoštevana v popisu zunanje ureditve!</t>
  </si>
  <si>
    <t>Ročni izkop ob obstoječih podzemnih inštalacijah, na mestih prevezav, križanj in približevanj. Izkop v zemlji III. do IV.</t>
  </si>
  <si>
    <t>Kombiniran izkop jarkov v opaženem izkopu, globine 0-2 m, z odlaganjem izkopanega materiala 1m od roba izkopa.</t>
  </si>
  <si>
    <t xml:space="preserve">Odvoz odvečnega materiala od izkopa na deponijo z nakladanjem in razgrinjanjem na deponiji. Deponija oddaljena do 5 km </t>
  </si>
  <si>
    <t>Ostala nepredvidena zemeljska dela; obračun po dejanskih stroških porabe časa in materiala po vpisu v gradbeni dnevnik; Ocena 5% od vrednosti.</t>
  </si>
  <si>
    <t>Namestitev Ltž cestnih kap vodovoda na predfabricirane AB plošče, za zavarovanje vgradbenih armatur na podzemnih ventilih, hidrantih in zračnikih, s prilagoditvijo na končno niveleto. Nabava cestne kape ter podložne plošče upoštevana v strojnem delu popisa.</t>
  </si>
  <si>
    <t>JAŠKI</t>
  </si>
  <si>
    <t>41 001</t>
  </si>
  <si>
    <t>Dobava in vgradnja vodomernega PVC termo jaska, eno merilno mesto DN20
dimenzij: višina 100 cm, dolžina 65 cm, širina 45 cm ustreza proizvod: Zagožen d.o.o. proizvod je skladen z zahtevami upravljalca", komplet z vgradnjo in vsem potrebnim montažnim materialom, fazonskimi kosi, ventili, pritrdilnim in spojnim materialom, vodomerom DN20, robnim vencem, pokrovom razreda A15, izkopom in zasipom.</t>
  </si>
  <si>
    <t>41 002</t>
  </si>
  <si>
    <t>Dobava in vgradnja PVC termo jaska za zračnik dimenzij: višina 100 cm, dolžina 65 cm, širina 45 cm ustreza proizvod: Zagožen d.o.o. proizvod je skladen z zahtevami upravljalca", komplet z vgradnjo in vsem potrebnim montažnim materialom, fazonskimi kosi, ventili, pritrdilnim in spojnim materialom, navojnim zračnikom DN20 (trojna funkcija), robnim vencem, pokrovom razreda A15, izkopom in zasipom.</t>
  </si>
  <si>
    <t>Dobava vodovodne cevi, izdelanih iz polietilena tlačnega razreda PN10 SDR17 po ISO 443 skupaj s spojnim in tesnilnim materialom.</t>
  </si>
  <si>
    <t>PE100 d20</t>
  </si>
  <si>
    <t>Dobava zaščitne cevi, izdelanih iz polietilena tlačnega razreda PN10 SDR17 po ISO 443 skupaj s spojnim in tesnilnim materialom.</t>
  </si>
  <si>
    <t>PE80 d40</t>
  </si>
  <si>
    <t>Montaža zaščitne in vodovodne cevi iz PE, z vsemi spremljajočimi deli, transporti, s tlačno preizkušnjo po navodilih proizvajalca cevi in standardih pr EN 805, ter dobavo opozorilnega PVC traku, ki se ga položi na osnovni zasip cevovoda (posteljica in osnovni nasip cevovoda je zajet v popisu gradbenih del)</t>
  </si>
  <si>
    <t>PE100 d40</t>
  </si>
  <si>
    <t>Dobava in vgradnja kompresijskih fitingov.</t>
  </si>
  <si>
    <t>Dobava in vgradnja navrtnega zasuna za NL in PE-HD za vgradnjo pod tlakom, komplet z stremenom in kolenom vrtljivim 90° , priključek DN150 / d=20 (kot npr. HawleZAK). Teleskopska-vgradbilna garniture za navrtne zasune z navojnim priključkom, vgradbena višina h=0,7-1,2m. Teleskopska cestna kapa d90 (kot npr. PAM), komplet z podložno ploščo Tip. 240.</t>
  </si>
  <si>
    <t>60 001</t>
  </si>
  <si>
    <t>Izdelava varnostnega načrta v skladu z uredbo o zagotavljanju varnosti in zdravja pri delu na začasnih in premičnih gradbiščih (Ur.l.št.83/05)</t>
  </si>
  <si>
    <t>60 004</t>
  </si>
  <si>
    <t>60 005</t>
  </si>
  <si>
    <t>Preizkus vodotesnosti vodovodnih cevi po veljavnih standardih:</t>
  </si>
  <si>
    <t>60 006</t>
  </si>
  <si>
    <t>Pranje in dezinfekcija cevovoda (po posameznih odsekih) po standardu SIST pr EN 805, ki ga izvede pristojna zdravstvena služba, s 5% režijskega pribitka za pomoč pri izvedbi</t>
  </si>
  <si>
    <t>60 007</t>
  </si>
  <si>
    <t>Geodetski posnetek zgrajenega vodovoda, izdelanega po predpisih geodetske stroke in navodilih upravljalca vodovoda, vključno z izdelavo načrta izvedenih del v skladu z ZGO-1 in pravilnikom o podrobnejši vsebini projektne dokumentacije</t>
  </si>
  <si>
    <t>TUJE STORITVE - SKUPAJ</t>
  </si>
  <si>
    <t>VODOVODNI MATERIAL Z MONTAŽO</t>
  </si>
  <si>
    <t>VODOVODNI MATERIAL Z MONTAŽO – SKUPAJ</t>
  </si>
  <si>
    <t>Stigmaflex cev f160 mm (v palicah po 6 m) skupaj z original čepi, vodotesnimi spoji, distančniki, koleni, …, položena v kabelsko kanalizacijo</t>
  </si>
  <si>
    <t>- dobava in vgradnjastigmaflex cevi  f110 mm dolžine 1,5 m, za uvod kablov v omarico</t>
  </si>
  <si>
    <r>
      <t>m</t>
    </r>
    <r>
      <rPr>
        <vertAlign val="superscript"/>
        <sz val="10"/>
        <rFont val="Calibri"/>
        <family val="2"/>
        <charset val="238"/>
        <scheme val="minor"/>
      </rPr>
      <t>2</t>
    </r>
  </si>
  <si>
    <r>
      <t>m</t>
    </r>
    <r>
      <rPr>
        <vertAlign val="superscript"/>
        <sz val="10"/>
        <rFont val="Calibri"/>
        <family val="2"/>
        <charset val="238"/>
        <scheme val="minor"/>
      </rPr>
      <t>3</t>
    </r>
  </si>
  <si>
    <r>
      <t xml:space="preserve">Dobava in vgradnja asfalta na pločniku in lokalni cesti (ročno vgrajevanje): </t>
    </r>
    <r>
      <rPr>
        <b/>
        <sz val="10"/>
        <rFont val="Calibri"/>
        <family val="2"/>
        <charset val="238"/>
        <scheme val="minor"/>
      </rPr>
      <t>obrabno-zaporni sloj</t>
    </r>
    <r>
      <rPr>
        <sz val="10"/>
        <rFont val="Calibri"/>
        <family val="2"/>
        <charset val="238"/>
        <scheme val="minor"/>
      </rPr>
      <t xml:space="preserve"> (AC 11 surf B 50/70 A3) </t>
    </r>
    <r>
      <rPr>
        <b/>
        <sz val="10"/>
        <rFont val="Calibri"/>
        <family val="2"/>
        <charset val="238"/>
        <scheme val="minor"/>
      </rPr>
      <t>debeline 6 cm</t>
    </r>
    <r>
      <rPr>
        <sz val="10"/>
        <rFont val="Calibri"/>
        <family val="2"/>
        <charset val="238"/>
        <scheme val="minor"/>
      </rPr>
      <t>, vključno z obrizgom starega asfalta z bitumensko emulzijo in zalitjem stikov med starim in novim asfaltom z bitumnom</t>
    </r>
  </si>
  <si>
    <r>
      <t>- izdelava podlage s podložnim betonom C12/15, prereza 0,1m</t>
    </r>
    <r>
      <rPr>
        <vertAlign val="superscript"/>
        <sz val="10"/>
        <rFont val="Calibri"/>
        <family val="2"/>
        <charset val="238"/>
        <scheme val="minor"/>
      </rPr>
      <t>3</t>
    </r>
    <r>
      <rPr>
        <sz val="10"/>
        <rFont val="Calibri"/>
        <family val="2"/>
        <charset val="238"/>
        <scheme val="minor"/>
      </rPr>
      <t>/m</t>
    </r>
    <r>
      <rPr>
        <vertAlign val="superscript"/>
        <sz val="10"/>
        <rFont val="Calibri"/>
        <family val="2"/>
        <charset val="238"/>
        <scheme val="minor"/>
      </rPr>
      <t>2</t>
    </r>
    <r>
      <rPr>
        <sz val="10"/>
        <rFont val="Calibri"/>
        <family val="2"/>
        <charset val="238"/>
        <scheme val="minor"/>
      </rPr>
      <t>, v debelini 10cm</t>
    </r>
  </si>
  <si>
    <r>
      <t>- izdelava podlage s podložnim betonom C12/15, prereza 0,1m</t>
    </r>
    <r>
      <rPr>
        <vertAlign val="superscript"/>
        <sz val="10"/>
        <rFont val="Calibri"/>
        <family val="2"/>
        <charset val="238"/>
        <scheme val="minor"/>
      </rPr>
      <t>3</t>
    </r>
    <r>
      <rPr>
        <sz val="10"/>
        <rFont val="Calibri"/>
        <family val="2"/>
        <charset val="238"/>
        <scheme val="minor"/>
      </rPr>
      <t>/m</t>
    </r>
    <r>
      <rPr>
        <vertAlign val="superscript"/>
        <sz val="10"/>
        <rFont val="Calibri"/>
        <family val="2"/>
        <charset val="238"/>
        <scheme val="minor"/>
      </rPr>
      <t>2</t>
    </r>
    <r>
      <rPr>
        <sz val="10"/>
        <rFont val="Calibri"/>
        <family val="2"/>
        <charset val="238"/>
        <scheme val="minor"/>
      </rPr>
      <t>, v debelini 10 cm</t>
    </r>
  </si>
  <si>
    <r>
      <t>- dobava in vgradnja betona C25/30, prereza 0,2 m</t>
    </r>
    <r>
      <rPr>
        <vertAlign val="superscript"/>
        <sz val="10"/>
        <rFont val="Calibri"/>
        <family val="2"/>
        <charset val="238"/>
        <scheme val="minor"/>
      </rPr>
      <t>3</t>
    </r>
    <r>
      <rPr>
        <sz val="10"/>
        <rFont val="Calibri"/>
        <family val="2"/>
        <charset val="238"/>
        <scheme val="minor"/>
      </rPr>
      <t>/m</t>
    </r>
    <r>
      <rPr>
        <vertAlign val="superscript"/>
        <sz val="10"/>
        <rFont val="Calibri"/>
        <family val="2"/>
        <charset val="238"/>
        <scheme val="minor"/>
      </rPr>
      <t>2</t>
    </r>
    <r>
      <rPr>
        <sz val="10"/>
        <rFont val="Calibri"/>
        <family val="2"/>
        <charset val="238"/>
        <scheme val="minor"/>
      </rPr>
      <t xml:space="preserve">, v temelj dimenzij (axbxh): 0,55 x 0,3 x 1,5 m </t>
    </r>
  </si>
  <si>
    <r>
      <t>Napajalni kabel NA2XY-J 4x150 + 2,5 mm</t>
    </r>
    <r>
      <rPr>
        <vertAlign val="superscript"/>
        <sz val="10"/>
        <rFont val="Calibri"/>
        <family val="2"/>
        <charset val="238"/>
        <scheme val="minor"/>
      </rPr>
      <t xml:space="preserve">2 </t>
    </r>
    <r>
      <rPr>
        <sz val="10"/>
        <rFont val="Calibri"/>
        <family val="2"/>
        <charset val="238"/>
        <scheme val="minor"/>
      </rPr>
      <t>(SM) uvlečen v kabelsko kanalizacijo</t>
    </r>
  </si>
  <si>
    <r>
      <t>Kabelski čevelji za kabel NA2XY-J 4x150 mm</t>
    </r>
    <r>
      <rPr>
        <vertAlign val="superscript"/>
        <sz val="10"/>
        <rFont val="Calibri"/>
        <family val="2"/>
        <charset val="238"/>
        <scheme val="minor"/>
      </rPr>
      <t>2</t>
    </r>
    <r>
      <rPr>
        <sz val="10"/>
        <rFont val="Calibri"/>
        <family val="2"/>
        <charset val="238"/>
        <scheme val="minor"/>
      </rPr>
      <t>, Al/Cu 150 mm</t>
    </r>
    <r>
      <rPr>
        <vertAlign val="superscript"/>
        <sz val="10"/>
        <rFont val="Calibri"/>
        <family val="2"/>
        <charset val="238"/>
        <scheme val="minor"/>
      </rPr>
      <t>2</t>
    </r>
    <r>
      <rPr>
        <sz val="10"/>
        <rFont val="Calibri"/>
        <family val="2"/>
        <charset val="238"/>
        <scheme val="minor"/>
      </rPr>
      <t>/f16 mm,  kabelski končnik, toploskrčni cevi z lepilom za zaščito kabelsega čevlja, priklop kabla</t>
    </r>
  </si>
  <si>
    <r>
      <t>- instalacijski odklopnik, 400V, I</t>
    </r>
    <r>
      <rPr>
        <vertAlign val="subscript"/>
        <sz val="10"/>
        <rFont val="Calibri"/>
        <family val="2"/>
        <charset val="238"/>
        <scheme val="minor"/>
      </rPr>
      <t>cu</t>
    </r>
    <r>
      <rPr>
        <sz val="10"/>
        <rFont val="Calibri"/>
        <family val="2"/>
        <charset val="238"/>
        <scheme val="minor"/>
      </rPr>
      <t xml:space="preserve"> = 10 kA, tripolni, kot npr. ETIMAT P10 C6A/3P (Eti)</t>
    </r>
  </si>
  <si>
    <r>
      <t xml:space="preserve">Dopolnitev obstoječega NN polja v </t>
    </r>
    <r>
      <rPr>
        <b/>
        <i/>
        <sz val="10"/>
        <rFont val="Calibri"/>
        <family val="2"/>
        <charset val="238"/>
        <scheme val="minor"/>
      </rPr>
      <t xml:space="preserve">TP PROJKET </t>
    </r>
    <r>
      <rPr>
        <sz val="10"/>
        <rFont val="Calibri"/>
        <family val="2"/>
        <charset val="238"/>
        <scheme val="minor"/>
      </rPr>
      <t>z novim NN odvodnim poljem v sestavi:</t>
    </r>
  </si>
  <si>
    <r>
      <t xml:space="preserve">Električne meritve zaščite proti električnemu udaru in ozemljitev z izdelavo merilnega poročila, merilec mora imeti opralvljen izpit Preglednik manj zahtevnih (zahtevnih) električnih inštalacij in inštalacij zaščite pred delovanjem strele, meritve morajo biti narejene v prisotnosti odgovornega nadzornika električnih instalacij in opreme - </t>
    </r>
    <r>
      <rPr>
        <b/>
        <i/>
        <sz val="10"/>
        <rFont val="Calibri"/>
        <family val="2"/>
        <charset val="238"/>
        <scheme val="minor"/>
      </rPr>
      <t>merilec mora biti prisoten pri gradnji v vseh gradbenih fazah!</t>
    </r>
  </si>
  <si>
    <r>
      <rPr>
        <b/>
        <i/>
        <sz val="10"/>
        <rFont val="Calibri"/>
        <family val="2"/>
        <charset val="238"/>
        <scheme val="minor"/>
      </rPr>
      <t>S1</t>
    </r>
    <r>
      <rPr>
        <sz val="10"/>
        <rFont val="Calibri"/>
        <family val="2"/>
        <charset val="238"/>
        <scheme val="minor"/>
      </rPr>
      <t xml:space="preserve"> - Stenska vgradna svetilka z asimetrično karakteristiko svetenja, z nevidnim ohišjem, dimenzij 155 x 190 x 110 mm, kompletno z integriranim napajalnikom, kot npr.  </t>
    </r>
    <r>
      <rPr>
        <b/>
        <i/>
        <sz val="10"/>
        <rFont val="Calibri"/>
        <family val="2"/>
        <charset val="238"/>
        <scheme val="minor"/>
      </rPr>
      <t>MINI GHOST  koda G.8028W</t>
    </r>
    <r>
      <rPr>
        <sz val="10"/>
        <rFont val="Calibri"/>
        <family val="2"/>
        <charset val="238"/>
        <scheme val="minor"/>
      </rPr>
      <t xml:space="preserve">  moči 6 W, s svetlobnim tokom 490 lm, temperatura svetlobe 3000 °K, CRI&gt;80, zaščita pred delci in vlago IP65, mehanska zaščita IK10, napajanje 230V AC
Opomba:
Svetilko je potrebno vgraditi v fazi betoniranja stene, za povezavo se uporabi ojačana instalacijsko cev premera 25 mm!</t>
    </r>
  </si>
  <si>
    <r>
      <rPr>
        <b/>
        <i/>
        <sz val="10"/>
        <rFont val="Calibri"/>
        <family val="2"/>
        <charset val="238"/>
        <scheme val="minor"/>
      </rPr>
      <t>S2</t>
    </r>
    <r>
      <rPr>
        <sz val="10"/>
        <rFont val="Calibri"/>
        <family val="2"/>
        <charset val="238"/>
        <scheme val="minor"/>
      </rPr>
      <t xml:space="preserve"> - Nadgradna linijska svetilka dolžine 400 mm, širine 18 in globine 19 mm, moči 5 W, s svetlobnim tokom 500 lm, temperatura svetlobe 3000 °K, napajanje 24V DC,  zaščita pred delci in vlago IP65,  kot npr. </t>
    </r>
    <r>
      <rPr>
        <b/>
        <i/>
        <sz val="10"/>
        <rFont val="Calibri"/>
        <family val="2"/>
        <charset val="238"/>
        <scheme val="minor"/>
      </rPr>
      <t>LINEA 18 CUSTOM</t>
    </r>
    <r>
      <rPr>
        <sz val="10"/>
        <rFont val="Calibri"/>
        <family val="2"/>
        <charset val="238"/>
        <scheme val="minor"/>
      </rPr>
      <t xml:space="preserve"> izdelava po posebnem detajlu</t>
    </r>
  </si>
  <si>
    <r>
      <t>S3 - Stropna nadgradna svetilka, premera 300 mm in višine 78 mm, moči 20 W, s svetlobnim tokom 2000 lm ,temperatura svetlobe 3000 °K, zaščita pred delci in vlago IP54, mehanska odpornosti IK08,  napajanje 230V AC, kot npr.</t>
    </r>
    <r>
      <rPr>
        <b/>
        <i/>
        <sz val="10"/>
        <rFont val="Calibri"/>
        <family val="2"/>
        <charset val="238"/>
        <scheme val="minor"/>
      </rPr>
      <t xml:space="preserve"> UNI LINEAR ROUND koda 22.2000312054.LR</t>
    </r>
  </si>
  <si>
    <r>
      <t xml:space="preserve">S4/1, S4/2 - LED linija z visoko odpornostjo na vplive okolja dimenzij 10x10 mm, odporno na UV,  moči 4,5W/m, s svetlobnim tokom 140 lm/m, 144 led/m,  zaščita pred delci in vlago IP65, s pripadajočim spojnim, pritrdilnim materialom, zaključnimi kapami, kot npr. </t>
    </r>
    <r>
      <rPr>
        <b/>
        <i/>
        <sz val="10"/>
        <rFont val="Calibri"/>
        <family val="2"/>
        <charset val="238"/>
        <scheme val="minor"/>
      </rPr>
      <t>NET FLEX F23</t>
    </r>
  </si>
  <si>
    <r>
      <t xml:space="preserve">S5 -  Vgradna linijska svetilka dimenzije 30x30 mm izdelana po meri na dimenzijo 1800x30x30 z dislociranim napajalnikom, moči 20W, s svetlobnim tokom 2600lm, temperatura svetlobe 3000 °K, napajanje 24V DC, zaščita pred delci in vlago IP65, kot npr. </t>
    </r>
    <r>
      <rPr>
        <b/>
        <i/>
        <sz val="10"/>
        <rFont val="Calibri"/>
        <family val="2"/>
        <charset val="238"/>
        <scheme val="minor"/>
      </rPr>
      <t>LINEA 30 CUSTOM</t>
    </r>
    <r>
      <rPr>
        <sz val="10"/>
        <rFont val="Calibri"/>
        <family val="2"/>
        <charset val="238"/>
        <scheme val="minor"/>
      </rPr>
      <t>, komplet z vložkom za vstavljanje v beton
Opomba:
Vložek za beton je potrebno vgraditi v fazi betoniranja plošče.</t>
    </r>
  </si>
  <si>
    <t>- 20/15 mm</t>
  </si>
  <si>
    <t>- 32/24,3 mm</t>
  </si>
  <si>
    <t>- 25/18,3 mm</t>
  </si>
  <si>
    <t>- 20/14 mm</t>
  </si>
  <si>
    <r>
      <t>- 5x25 mm</t>
    </r>
    <r>
      <rPr>
        <vertAlign val="superscript"/>
        <sz val="10"/>
        <rFont val="Calibri"/>
        <family val="2"/>
        <charset val="238"/>
        <scheme val="minor"/>
      </rPr>
      <t>2</t>
    </r>
  </si>
  <si>
    <r>
      <t>- 5x2,5 mm</t>
    </r>
    <r>
      <rPr>
        <vertAlign val="superscript"/>
        <sz val="10"/>
        <rFont val="Calibri"/>
        <family val="2"/>
        <charset val="238"/>
        <scheme val="minor"/>
      </rPr>
      <t>2</t>
    </r>
  </si>
  <si>
    <r>
      <t>- 3x2,5 mm</t>
    </r>
    <r>
      <rPr>
        <vertAlign val="superscript"/>
        <sz val="10"/>
        <rFont val="Calibri"/>
        <family val="2"/>
        <charset val="238"/>
        <scheme val="minor"/>
      </rPr>
      <t>2</t>
    </r>
  </si>
  <si>
    <r>
      <t>- 4x1,5 mm</t>
    </r>
    <r>
      <rPr>
        <vertAlign val="superscript"/>
        <sz val="10"/>
        <rFont val="Calibri"/>
        <family val="2"/>
        <charset val="238"/>
        <scheme val="minor"/>
      </rPr>
      <t>2</t>
    </r>
  </si>
  <si>
    <r>
      <t>- 3x1,5 mm</t>
    </r>
    <r>
      <rPr>
        <vertAlign val="superscript"/>
        <sz val="10"/>
        <rFont val="Calibri"/>
        <family val="2"/>
        <charset val="238"/>
        <scheme val="minor"/>
      </rPr>
      <t>2</t>
    </r>
  </si>
  <si>
    <r>
      <t>- 2x1,5 mm</t>
    </r>
    <r>
      <rPr>
        <vertAlign val="superscript"/>
        <sz val="10"/>
        <rFont val="Calibri"/>
        <family val="2"/>
        <charset val="238"/>
        <scheme val="minor"/>
      </rPr>
      <t>2</t>
    </r>
  </si>
  <si>
    <r>
      <t>- 6 mm</t>
    </r>
    <r>
      <rPr>
        <vertAlign val="superscript"/>
        <sz val="10"/>
        <rFont val="Calibri"/>
        <family val="2"/>
        <charset val="238"/>
        <scheme val="minor"/>
      </rPr>
      <t xml:space="preserve">2 </t>
    </r>
  </si>
  <si>
    <r>
      <t>- 4 mm</t>
    </r>
    <r>
      <rPr>
        <vertAlign val="superscript"/>
        <sz val="10"/>
        <rFont val="Calibri"/>
        <family val="2"/>
        <charset val="238"/>
        <scheme val="minor"/>
      </rPr>
      <t xml:space="preserve">2 </t>
    </r>
  </si>
  <si>
    <r>
      <t xml:space="preserve">Stropno nadgradno IR senzorsko stikalo z detektorjem gibanja za prižiganje razsvetljave, "trio sensor" NA-DE, kot zaznavanja 360°, preklopna zmoglivost 2000/800W, doseg 6-24 m, nastavitev svetlobnega nivoja vklopa (2-2000 lx), s časovno nastavljivim zakasnjenim izklopom (10 sekund - 5 minut), višina montaže 2,8 m, napajanje 230V AC, zaščita proti vlagi in prahu IP20, kot npr. </t>
    </r>
    <r>
      <rPr>
        <b/>
        <i/>
        <sz val="10"/>
        <rFont val="Calibri"/>
        <family val="2"/>
        <charset val="238"/>
        <scheme val="minor"/>
      </rPr>
      <t>10463 (Na. De)</t>
    </r>
  </si>
  <si>
    <r>
      <t>- nosilec PE/N zbiralke 10 in 16 mm</t>
    </r>
    <r>
      <rPr>
        <vertAlign val="superscript"/>
        <sz val="10"/>
        <rFont val="Calibri"/>
        <family val="2"/>
        <charset val="238"/>
        <scheme val="minor"/>
      </rPr>
      <t>2</t>
    </r>
    <r>
      <rPr>
        <sz val="10"/>
        <rFont val="Calibri"/>
        <family val="2"/>
        <charset val="238"/>
        <scheme val="minor"/>
      </rPr>
      <t xml:space="preserve"> dvovišinski</t>
    </r>
  </si>
  <si>
    <r>
      <t>- priključna sponka za vodnike, za zbiralke 10 mm, 4-35 mm</t>
    </r>
    <r>
      <rPr>
        <vertAlign val="superscript"/>
        <sz val="10"/>
        <rFont val="Calibri"/>
        <family val="2"/>
        <charset val="238"/>
        <scheme val="minor"/>
      </rPr>
      <t>2</t>
    </r>
  </si>
  <si>
    <r>
      <t>- glavno bremensko ločilno stikalo fiksne izvedbe, I</t>
    </r>
    <r>
      <rPr>
        <vertAlign val="subscript"/>
        <sz val="10"/>
        <rFont val="Calibri"/>
        <family val="2"/>
        <charset val="238"/>
        <scheme val="minor"/>
      </rPr>
      <t>n</t>
    </r>
    <r>
      <rPr>
        <sz val="10"/>
        <rFont val="Calibri"/>
        <family val="2"/>
        <charset val="238"/>
        <scheme val="minor"/>
      </rPr>
      <t>= 400A, kontaktni sklop 3x (0-1), z indikacijo položaja kontakta z daljinskim krmiljenjem, kot npr. MC3-N-400 (Schrack) - MC340035--</t>
    </r>
  </si>
  <si>
    <r>
      <t>- tunelska sponka 2x240 mm</t>
    </r>
    <r>
      <rPr>
        <vertAlign val="superscript"/>
        <sz val="10"/>
        <rFont val="Calibri"/>
        <family val="2"/>
        <charset val="238"/>
        <scheme val="minor"/>
      </rPr>
      <t>2</t>
    </r>
    <r>
      <rPr>
        <sz val="10"/>
        <rFont val="Calibri"/>
        <family val="2"/>
        <charset val="238"/>
        <scheme val="minor"/>
      </rPr>
      <t>, za ločilno stikalo MC3, 3 polna, kot npr. MC391461-- (Schrack)</t>
    </r>
  </si>
  <si>
    <r>
      <t>- prenapetostni zaščitni odvodnik I. in II. stopnje, I</t>
    </r>
    <r>
      <rPr>
        <vertAlign val="subscript"/>
        <sz val="10"/>
        <rFont val="Calibri"/>
        <family val="2"/>
        <charset val="238"/>
        <scheme val="minor"/>
      </rPr>
      <t>imp</t>
    </r>
    <r>
      <rPr>
        <sz val="10"/>
        <rFont val="Calibri"/>
        <family val="2"/>
        <charset val="238"/>
        <scheme val="minor"/>
      </rPr>
      <t xml:space="preserve"> (10/350)= 25 kA, I</t>
    </r>
    <r>
      <rPr>
        <vertAlign val="subscript"/>
        <sz val="10"/>
        <rFont val="Calibri"/>
        <family val="2"/>
        <charset val="238"/>
        <scheme val="minor"/>
      </rPr>
      <t>n</t>
    </r>
    <r>
      <rPr>
        <sz val="10"/>
        <rFont val="Calibri"/>
        <family val="2"/>
        <charset val="238"/>
        <scheme val="minor"/>
      </rPr>
      <t xml:space="preserve"> (8/20)= 25 kA, I</t>
    </r>
    <r>
      <rPr>
        <vertAlign val="subscript"/>
        <sz val="10"/>
        <rFont val="Calibri"/>
        <family val="2"/>
        <charset val="238"/>
        <scheme val="minor"/>
      </rPr>
      <t>max</t>
    </r>
    <r>
      <rPr>
        <sz val="10"/>
        <rFont val="Calibri"/>
        <family val="2"/>
        <charset val="238"/>
        <scheme val="minor"/>
      </rPr>
      <t xml:space="preserve"> (8/20)= 50 kA, U</t>
    </r>
    <r>
      <rPr>
        <vertAlign val="subscript"/>
        <sz val="10"/>
        <rFont val="Calibri"/>
        <family val="2"/>
        <charset val="238"/>
        <scheme val="minor"/>
      </rPr>
      <t>c</t>
    </r>
    <r>
      <rPr>
        <sz val="10"/>
        <rFont val="Calibri"/>
        <family val="2"/>
        <charset val="238"/>
        <scheme val="minor"/>
      </rPr>
      <t>= 275V, U</t>
    </r>
    <r>
      <rPr>
        <vertAlign val="subscript"/>
        <sz val="10"/>
        <rFont val="Calibri"/>
        <family val="2"/>
        <charset val="238"/>
        <scheme val="minor"/>
      </rPr>
      <t>p</t>
    </r>
    <r>
      <rPr>
        <sz val="10"/>
        <rFont val="Calibri"/>
        <family val="2"/>
        <charset val="238"/>
        <scheme val="minor"/>
      </rPr>
      <t>= 1,2 kV, tripolni, s prikazom stanja kot npr. PZH R1 275/25/3+0 (Hermi)</t>
    </r>
  </si>
  <si>
    <r>
      <t>- tunelska sponka 95 mm</t>
    </r>
    <r>
      <rPr>
        <vertAlign val="superscript"/>
        <sz val="10"/>
        <rFont val="Calibri"/>
        <family val="2"/>
        <charset val="238"/>
        <scheme val="minor"/>
      </rPr>
      <t>2</t>
    </r>
    <r>
      <rPr>
        <sz val="10"/>
        <rFont val="Calibri"/>
        <family val="2"/>
        <charset val="238"/>
        <scheme val="minor"/>
      </rPr>
      <t>, za odklopnik MC1, komplet vsebuje 3 kose, kot npr. MC196730-- (Schrack)</t>
    </r>
  </si>
  <si>
    <r>
      <t>- tripolni odklopnik, s termo-magnetno zaščito, I</t>
    </r>
    <r>
      <rPr>
        <vertAlign val="subscript"/>
        <sz val="10"/>
        <rFont val="Calibri"/>
        <family val="2"/>
        <charset val="238"/>
        <scheme val="minor"/>
      </rPr>
      <t>n</t>
    </r>
    <r>
      <rPr>
        <sz val="10"/>
        <rFont val="Calibri"/>
        <family val="2"/>
        <charset val="238"/>
        <scheme val="minor"/>
      </rPr>
      <t xml:space="preserve"> = 63-80A,  I</t>
    </r>
    <r>
      <rPr>
        <vertAlign val="subscript"/>
        <sz val="10"/>
        <rFont val="Calibri"/>
        <family val="2"/>
        <charset val="238"/>
        <scheme val="minor"/>
      </rPr>
      <t>r</t>
    </r>
    <r>
      <rPr>
        <sz val="10"/>
        <rFont val="Calibri"/>
        <family val="2"/>
        <charset val="238"/>
        <scheme val="minor"/>
      </rPr>
      <t xml:space="preserve"> =0,8-1 x I</t>
    </r>
    <r>
      <rPr>
        <vertAlign val="subscript"/>
        <sz val="10"/>
        <rFont val="Calibri"/>
        <family val="2"/>
        <charset val="238"/>
        <scheme val="minor"/>
      </rPr>
      <t>n</t>
    </r>
    <r>
      <rPr>
        <sz val="10"/>
        <rFont val="Calibri"/>
        <family val="2"/>
        <charset val="238"/>
        <scheme val="minor"/>
      </rPr>
      <t>, I</t>
    </r>
    <r>
      <rPr>
        <vertAlign val="subscript"/>
        <sz val="10"/>
        <rFont val="Calibri"/>
        <family val="2"/>
        <charset val="238"/>
        <scheme val="minor"/>
      </rPr>
      <t>i</t>
    </r>
    <r>
      <rPr>
        <sz val="10"/>
        <rFont val="Calibri"/>
        <family val="2"/>
        <charset val="238"/>
        <scheme val="minor"/>
      </rPr>
      <t xml:space="preserve"> =6-10 x I</t>
    </r>
    <r>
      <rPr>
        <vertAlign val="subscript"/>
        <sz val="10"/>
        <rFont val="Calibri"/>
        <family val="2"/>
        <charset val="238"/>
        <scheme val="minor"/>
      </rPr>
      <t>n</t>
    </r>
    <r>
      <rPr>
        <sz val="10"/>
        <rFont val="Calibri"/>
        <family val="2"/>
        <charset val="238"/>
        <scheme val="minor"/>
      </rPr>
      <t>, I</t>
    </r>
    <r>
      <rPr>
        <vertAlign val="subscript"/>
        <sz val="10"/>
        <rFont val="Calibri"/>
        <family val="2"/>
        <charset val="238"/>
        <scheme val="minor"/>
      </rPr>
      <t>cu</t>
    </r>
    <r>
      <rPr>
        <sz val="10"/>
        <rFont val="Calibri"/>
        <family val="2"/>
        <charset val="238"/>
        <scheme val="minor"/>
      </rPr>
      <t>= 25 kA, kot npr. MC1B-A80 (Schrack)</t>
    </r>
  </si>
  <si>
    <r>
      <t>- adapter za sistem 60 mm, 63A, za instalacijski odklopnik BMS0, 3 polni, ožičenje 3x10 mm</t>
    </r>
    <r>
      <rPr>
        <vertAlign val="superscript"/>
        <sz val="10"/>
        <rFont val="Calibri"/>
        <family val="2"/>
        <charset val="238"/>
        <scheme val="minor"/>
      </rPr>
      <t>2</t>
    </r>
    <r>
      <rPr>
        <sz val="10"/>
        <rFont val="Calibri"/>
        <family val="2"/>
        <charset val="238"/>
        <scheme val="minor"/>
      </rPr>
      <t>, kot npr. SI324540-- (Schrack)</t>
    </r>
  </si>
  <si>
    <r>
      <t>- instalacijski odklopnik, 230V, I</t>
    </r>
    <r>
      <rPr>
        <vertAlign val="subscript"/>
        <sz val="10"/>
        <rFont val="Calibri"/>
        <family val="2"/>
        <charset val="238"/>
        <scheme val="minor"/>
      </rPr>
      <t>cu</t>
    </r>
    <r>
      <rPr>
        <sz val="10"/>
        <rFont val="Calibri"/>
        <family val="2"/>
        <charset val="238"/>
        <scheme val="minor"/>
      </rPr>
      <t xml:space="preserve"> = 10 kA, enopolni, kot npr. BMS0 C16A (Schrack)</t>
    </r>
  </si>
  <si>
    <r>
      <t>- instalacijski odklopnik, 230V, I</t>
    </r>
    <r>
      <rPr>
        <vertAlign val="subscript"/>
        <sz val="10"/>
        <rFont val="Calibri"/>
        <family val="2"/>
        <charset val="238"/>
        <scheme val="minor"/>
      </rPr>
      <t>cu</t>
    </r>
    <r>
      <rPr>
        <sz val="10"/>
        <rFont val="Calibri"/>
        <family val="2"/>
        <charset val="238"/>
        <scheme val="minor"/>
      </rPr>
      <t xml:space="preserve"> = 10 kA, enopolni, kot npr. BMS0 C6A (Schrack)</t>
    </r>
  </si>
  <si>
    <r>
      <t>- instalacijski odklopnik, 400V, I</t>
    </r>
    <r>
      <rPr>
        <vertAlign val="subscript"/>
        <sz val="10"/>
        <rFont val="Calibri"/>
        <family val="2"/>
        <charset val="238"/>
        <scheme val="minor"/>
      </rPr>
      <t>cu</t>
    </r>
    <r>
      <rPr>
        <sz val="10"/>
        <rFont val="Calibri"/>
        <family val="2"/>
        <charset val="238"/>
        <scheme val="minor"/>
      </rPr>
      <t xml:space="preserve"> = 10 kA, tripolni, kot npr. BMS0 C16A (Schrack)</t>
    </r>
  </si>
  <si>
    <r>
      <t>- instalacijski odklopnik, 230V, I</t>
    </r>
    <r>
      <rPr>
        <vertAlign val="subscript"/>
        <sz val="10"/>
        <rFont val="Calibri"/>
        <family val="2"/>
        <charset val="238"/>
        <scheme val="minor"/>
      </rPr>
      <t>cu</t>
    </r>
    <r>
      <rPr>
        <sz val="10"/>
        <rFont val="Calibri"/>
        <family val="2"/>
        <charset val="238"/>
        <scheme val="minor"/>
      </rPr>
      <t xml:space="preserve"> = 10 kA, enopolni, kot npr. BMS0 C10A (Schrack)</t>
    </r>
  </si>
  <si>
    <r>
      <t>- modularni kontaktor, 230V/1,5 kW (AC3), I</t>
    </r>
    <r>
      <rPr>
        <vertAlign val="subscript"/>
        <sz val="10"/>
        <rFont val="Calibri"/>
        <family val="2"/>
        <charset val="238"/>
        <scheme val="minor"/>
      </rPr>
      <t>th</t>
    </r>
    <r>
      <rPr>
        <sz val="10"/>
        <rFont val="Calibri"/>
        <family val="2"/>
        <charset val="238"/>
        <scheme val="minor"/>
      </rPr>
      <t>= 20A, krmilna napetost 230V AC, kot npr. BZ 326 439 (Schrack), kontakti 2xNO</t>
    </r>
  </si>
  <si>
    <r>
      <t>- zbiralka vilična, zlomljiva, 10 mm</t>
    </r>
    <r>
      <rPr>
        <vertAlign val="superscript"/>
        <sz val="10"/>
        <rFont val="Calibri"/>
        <family val="2"/>
        <charset val="238"/>
        <scheme val="minor"/>
      </rPr>
      <t>2</t>
    </r>
    <r>
      <rPr>
        <sz val="10"/>
        <rFont val="Calibri"/>
        <family val="2"/>
        <charset val="238"/>
        <scheme val="minor"/>
      </rPr>
      <t xml:space="preserve">, 3 polna L1/L2/L3, dolžine 1 m </t>
    </r>
  </si>
  <si>
    <r>
      <t>- krmilna vrstna sponka 4 mm</t>
    </r>
    <r>
      <rPr>
        <vertAlign val="superscript"/>
        <sz val="10"/>
        <rFont val="Calibri"/>
        <family val="2"/>
        <charset val="238"/>
        <scheme val="minor"/>
      </rPr>
      <t>2</t>
    </r>
    <r>
      <rPr>
        <sz val="10"/>
        <rFont val="Calibri"/>
        <family val="2"/>
        <charset val="238"/>
        <scheme val="minor"/>
      </rPr>
      <t>, montaža na DIN letev</t>
    </r>
  </si>
  <si>
    <r>
      <t xml:space="preserve">Barvna digitalna video kamera z 2,4 Mpix Sony CMOS senzorjem, 720/1080p @ 30 fps, v  </t>
    </r>
    <r>
      <rPr>
        <b/>
        <sz val="10"/>
        <rFont val="Calibri"/>
        <family val="2"/>
        <charset val="238"/>
        <scheme val="minor"/>
      </rPr>
      <t>diskretnem protivandalskem ohišju</t>
    </r>
    <r>
      <rPr>
        <sz val="10"/>
        <rFont val="Calibri"/>
        <family val="2"/>
        <charset val="238"/>
        <scheme val="minor"/>
      </rPr>
      <t xml:space="preserve"> (IP66), z 21 kosi IR LED diodami premera 5mm za nočno osvetljevanje kadra do 20 m, z variofokalnim 3,0 MPix HD objektivom z nastavljivo goriščno razdaljo v območju 2,8-12mm, WDR,  PoE napajanje kamere</t>
    </r>
  </si>
  <si>
    <r>
      <t xml:space="preserve">Lovilni okrogli vodnik iz aluminij legure f8 mm položen na strešne nosilce, kot npr. </t>
    </r>
    <r>
      <rPr>
        <b/>
        <i/>
        <sz val="10"/>
        <rFont val="Calibri"/>
        <family val="2"/>
        <charset val="238"/>
        <scheme val="minor"/>
      </rPr>
      <t xml:space="preserve">AH1 </t>
    </r>
    <r>
      <rPr>
        <sz val="10"/>
        <rFont val="Calibri"/>
        <family val="2"/>
        <charset val="238"/>
        <scheme val="minor"/>
      </rPr>
      <t>(Hermi)</t>
    </r>
  </si>
  <si>
    <r>
      <t xml:space="preserve">Strešni nosilnec iz nerjavečega jekla za pritrjevanje strelovodnega vodnika AH1 na pločevinasto atiko, kot npr. </t>
    </r>
    <r>
      <rPr>
        <b/>
        <i/>
        <sz val="10"/>
        <rFont val="Calibri"/>
        <family val="2"/>
        <charset val="238"/>
        <scheme val="minor"/>
      </rPr>
      <t xml:space="preserve">SON 16 Rf-V </t>
    </r>
    <r>
      <rPr>
        <sz val="10"/>
        <rFont val="Calibri"/>
        <family val="2"/>
        <charset val="238"/>
        <scheme val="minor"/>
      </rPr>
      <t>(Hermi) - razdalja med dvema nosilcema naj bo 1m</t>
    </r>
  </si>
  <si>
    <r>
      <t xml:space="preserve">Sponka iz nerjavečega jekla  za povezovanje okroglega strelovodnega vodnika na lovilne palice kot npr. </t>
    </r>
    <r>
      <rPr>
        <b/>
        <i/>
        <sz val="10"/>
        <rFont val="Calibri"/>
        <family val="2"/>
        <charset val="238"/>
        <scheme val="minor"/>
      </rPr>
      <t>KON 07 Rf</t>
    </r>
    <r>
      <rPr>
        <sz val="10"/>
        <rFont val="Calibri"/>
        <family val="2"/>
        <charset val="238"/>
        <scheme val="minor"/>
      </rPr>
      <t xml:space="preserve"> (Hermi)</t>
    </r>
  </si>
  <si>
    <r>
      <t xml:space="preserve">Sponka iz nerjavečega jekla za izvedbo kontaktnega spoja med okroglimi vodniki kot npr. </t>
    </r>
    <r>
      <rPr>
        <b/>
        <i/>
        <sz val="10"/>
        <rFont val="Calibri"/>
        <family val="2"/>
        <charset val="238"/>
        <scheme val="minor"/>
      </rPr>
      <t>KON 04A Rf</t>
    </r>
    <r>
      <rPr>
        <sz val="10"/>
        <rFont val="Calibri"/>
        <family val="2"/>
        <charset val="238"/>
        <scheme val="minor"/>
      </rPr>
      <t xml:space="preserve"> (Hermi)</t>
    </r>
  </si>
  <si>
    <r>
      <t xml:space="preserve">Odvodni okrogli vodnik iz nerjavečega jekla f8 mm uvlečen v zaščitno cev pod fasado, kot npr. </t>
    </r>
    <r>
      <rPr>
        <b/>
        <i/>
        <sz val="10"/>
        <rFont val="Calibri"/>
        <family val="2"/>
        <charset val="238"/>
        <scheme val="minor"/>
      </rPr>
      <t xml:space="preserve">RH3*H2 </t>
    </r>
    <r>
      <rPr>
        <sz val="10"/>
        <rFont val="Calibri"/>
        <family val="2"/>
        <charset val="238"/>
        <scheme val="minor"/>
      </rPr>
      <t>(Hermi)</t>
    </r>
  </si>
  <si>
    <r>
      <t xml:space="preserve">Zidni nosilec  iz nerjaveče pločevine za pritrjevanje zaščitne cevi v primeru podometnih strelovodnih vodov direktno na betonsko steno, kot npr. </t>
    </r>
    <r>
      <rPr>
        <b/>
        <i/>
        <sz val="10"/>
        <rFont val="Calibri"/>
        <family val="2"/>
        <charset val="238"/>
        <scheme val="minor"/>
      </rPr>
      <t>ZON 03 DIREKT</t>
    </r>
    <r>
      <rPr>
        <sz val="10"/>
        <rFont val="Calibri"/>
        <family val="2"/>
        <charset val="238"/>
        <scheme val="minor"/>
      </rPr>
      <t xml:space="preserve"> </t>
    </r>
    <r>
      <rPr>
        <b/>
        <i/>
        <sz val="10"/>
        <rFont val="Calibri"/>
        <family val="2"/>
        <charset val="238"/>
        <scheme val="minor"/>
      </rPr>
      <t>(Hermi) -</t>
    </r>
    <r>
      <rPr>
        <sz val="10"/>
        <rFont val="Calibri"/>
        <family val="2"/>
        <charset val="238"/>
        <scheme val="minor"/>
      </rPr>
      <t xml:space="preserve"> razdalja med dvema nosilcema naj bo 1 m</t>
    </r>
  </si>
  <si>
    <r>
      <t xml:space="preserve">Odkapnik kot npr. </t>
    </r>
    <r>
      <rPr>
        <b/>
        <i/>
        <sz val="10"/>
        <rFont val="Calibri"/>
        <family val="2"/>
        <charset val="238"/>
        <scheme val="minor"/>
      </rPr>
      <t>KON 21 ODKAPNIK Rf</t>
    </r>
    <r>
      <rPr>
        <sz val="10"/>
        <rFont val="Calibri"/>
        <family val="2"/>
        <charset val="238"/>
        <scheme val="minor"/>
      </rPr>
      <t xml:space="preserve"> (Hermi), za preprečevanja zatekanja vode po odvodnem vodu</t>
    </r>
  </si>
  <si>
    <r>
      <t xml:space="preserve">Podometna merilna omarica vgrajena v fasado za izvedbo merilnega spoja kot npr. </t>
    </r>
    <r>
      <rPr>
        <b/>
        <i/>
        <sz val="10"/>
        <rFont val="Calibri"/>
        <family val="2"/>
        <charset val="238"/>
        <scheme val="minor"/>
      </rPr>
      <t>ZON 05 A</t>
    </r>
    <r>
      <rPr>
        <sz val="10"/>
        <rFont val="Calibri"/>
        <family val="2"/>
        <charset val="238"/>
        <scheme val="minor"/>
      </rPr>
      <t xml:space="preserve"> (Hermi), pokrov omarice se zaključi kot fasada</t>
    </r>
  </si>
  <si>
    <r>
      <t xml:space="preserve">Merilna sponka iz nerjavečega jekla za izvedbo vijačenega merilnega spoja in povezavo med okroglim vodnikom RH3*H2 in ploščatim vodnikom RH1, kot npr. </t>
    </r>
    <r>
      <rPr>
        <b/>
        <i/>
        <sz val="10"/>
        <rFont val="Calibri"/>
        <family val="2"/>
        <charset val="238"/>
        <scheme val="minor"/>
      </rPr>
      <t>KON 02</t>
    </r>
    <r>
      <rPr>
        <sz val="10"/>
        <rFont val="Calibri"/>
        <family val="2"/>
        <charset val="238"/>
        <scheme val="minor"/>
      </rPr>
      <t xml:space="preserve"> (Hermi)</t>
    </r>
  </si>
  <si>
    <r>
      <t xml:space="preserve">Sponka iz ploščice dimenzij 50x35x45 mm in vijakom M10 za izvedbo vijačnega spoja  med ploščatim vodnikom in  armaturo temeljev oziroma sten,  kot npr. </t>
    </r>
    <r>
      <rPr>
        <b/>
        <i/>
        <sz val="10"/>
        <rFont val="Calibri"/>
        <family val="2"/>
        <charset val="238"/>
        <scheme val="minor"/>
      </rPr>
      <t>KON 09 (Hermi)</t>
    </r>
    <r>
      <rPr>
        <sz val="10"/>
        <rFont val="Calibri"/>
        <family val="2"/>
        <charset val="238"/>
        <scheme val="minor"/>
      </rPr>
      <t xml:space="preserve"> - razdalja med dvema sponkama naj bo 2 m</t>
    </r>
  </si>
  <si>
    <r>
      <t xml:space="preserve">Sponka iz nerjavečega jekla za izvedbo vijačnih spojev med ploščatimi strelovodnimi vodniki ter kovinskimi konstrukcijami., kot npr. </t>
    </r>
    <r>
      <rPr>
        <b/>
        <i/>
        <sz val="10"/>
        <rFont val="Calibri"/>
        <family val="2"/>
        <charset val="238"/>
        <scheme val="minor"/>
      </rPr>
      <t>KON 01</t>
    </r>
    <r>
      <rPr>
        <sz val="10"/>
        <rFont val="Calibri"/>
        <family val="2"/>
        <charset val="238"/>
        <scheme val="minor"/>
      </rPr>
      <t xml:space="preserve"> (Hermi)</t>
    </r>
  </si>
  <si>
    <r>
      <t xml:space="preserve">Meritve strelovodne instalacije – predpisane meritve ponikalne upornosti ozemljila, spojev, galvanskih povezav z izdelavo merilnega poročila, merilec mora imeti opralvljen izpit Preglednik manj zahtevnih (zahtevnih) električnih inštalacij in inštalacij zaščite pred delovanjem strele, meritve morajo biti narejene v prisotnosti odgovornega nadzornika električnih instalacij in opreme - </t>
    </r>
    <r>
      <rPr>
        <b/>
        <i/>
        <sz val="10"/>
        <rFont val="Calibri"/>
        <family val="2"/>
        <charset val="238"/>
        <scheme val="minor"/>
      </rPr>
      <t>merilec mora biti prisoten pri gradnji v vseh gradbenih fazah!</t>
    </r>
  </si>
  <si>
    <r>
      <t xml:space="preserve">Izdelava geodetskega posnetka in izdelava elaborata za vris v kataster komunalnih vodov, vnos v kataster komunalnih komunalnih vodov, </t>
    </r>
    <r>
      <rPr>
        <b/>
        <i/>
        <u/>
        <sz val="10"/>
        <rFont val="Calibri"/>
        <family val="2"/>
        <charset val="238"/>
        <scheme val="minor"/>
      </rPr>
      <t>posnetek izvesti pred zasipanje kabelskega jarka vodov</t>
    </r>
    <r>
      <rPr>
        <sz val="11"/>
        <color rgb="FF000000"/>
        <rFont val="Arial CE"/>
        <charset val="238"/>
      </rPr>
      <t/>
    </r>
  </si>
  <si>
    <t>ELEKTRO INŠTALACIJE</t>
  </si>
  <si>
    <t>NEPREDVIDENA DELA  5%</t>
  </si>
  <si>
    <t>VSE SKUPAJ</t>
  </si>
  <si>
    <t>DDV  22%</t>
  </si>
  <si>
    <t>Priloga 1: NAVODILA ZA ODDAJO PONUDBEB18B63A1:B19A1:B19A1:B21A1:B24A1:B25A1:B29A1:B31A1:B33A1:B35A1:B39A1:B40A1:B42B63A1:B19A1:B43A1:B42A1:B45B63A1:B19A1:B46A1:B48A1:B52A1:B53B63A1:B19A1:B56A1:B55A1:B56A1:B57A1:B53A1:B54A1:B55</t>
  </si>
  <si>
    <t>Izdelava temelja za omar M.O. PPzEV (količine za izdelavo enega temelja)</t>
  </si>
  <si>
    <t>Temelj za omaro M.O. PPzEV</t>
  </si>
  <si>
    <t>2+A1:G51.   ELEKTROMONTAŽNA DELA - NN PRIKLJUČEK</t>
  </si>
  <si>
    <t>NN varovalke 3x50 A gG, vgrajene v NN polje transformatorske postaje</t>
  </si>
  <si>
    <t>priključni del</t>
  </si>
  <si>
    <t xml:space="preserve">- horizontalni varovalčni ločilnik (glavne varovalke), tripolni, kot npr. HVL1 (250 A) z NV varovalkami 25 A gG </t>
  </si>
  <si>
    <t>- PE/N sponka PK 00/0 M8/2M5-S</t>
  </si>
  <si>
    <t>merilni del</t>
  </si>
  <si>
    <t>trifazni direktni elektronski števec delovne  energije, 400/230V, 5/85A, z vgrajenim tarifnim odklopnikom, LCD prikazovalnikom in PLC krmilnim modulom (G3-PLC) - krmili delovanje tarifnega odklopnika, ima vgrajeno interno uro s koledarjem za krmiljenje tarife, kot npr. ZMXi320CQU1L1D3.21 S4 (Landis@Gyr)</t>
  </si>
  <si>
    <t>- tipka za ponovni vklop tarifnega odklopnika, zaščite IP66</t>
  </si>
  <si>
    <r>
      <t>Kabelski tulci za zaključek kabla NA2XY-J 4x150 mm</t>
    </r>
    <r>
      <rPr>
        <vertAlign val="superscript"/>
        <sz val="10"/>
        <rFont val="Calibri"/>
        <family val="2"/>
        <charset val="238"/>
        <scheme val="minor"/>
      </rPr>
      <t>2</t>
    </r>
    <r>
      <rPr>
        <sz val="10"/>
        <rFont val="Calibri"/>
        <family val="2"/>
        <charset val="238"/>
        <scheme val="minor"/>
      </rPr>
      <t>, toploskrčne cevi z lepilom za zaščito kabelskih tulcev, priklop kabla</t>
    </r>
  </si>
  <si>
    <r>
      <t>Kabel NA2XY-J 4x35 + 1,5 mm</t>
    </r>
    <r>
      <rPr>
        <vertAlign val="superscript"/>
        <sz val="10"/>
        <rFont val="Calibri"/>
        <family val="2"/>
        <charset val="238"/>
        <scheme val="minor"/>
      </rPr>
      <t>2</t>
    </r>
    <r>
      <rPr>
        <sz val="10"/>
        <rFont val="Calibri"/>
        <family val="2"/>
        <charset val="238"/>
        <scheme val="minor"/>
      </rPr>
      <t xml:space="preserve"> uvlečen v kabelsko kanalizacijo</t>
    </r>
  </si>
  <si>
    <r>
      <t>Kabelski čevelji za kabel NA2XY-J 4x35 mm</t>
    </r>
    <r>
      <rPr>
        <vertAlign val="superscript"/>
        <sz val="10"/>
        <rFont val="Calibri"/>
        <family val="2"/>
        <charset val="238"/>
        <scheme val="minor"/>
      </rPr>
      <t xml:space="preserve">2 </t>
    </r>
    <r>
      <rPr>
        <sz val="10"/>
        <rFont val="Calibri"/>
        <family val="2"/>
        <charset val="238"/>
        <scheme val="minor"/>
      </rPr>
      <t>-  Al/Cu 35 mm</t>
    </r>
    <r>
      <rPr>
        <vertAlign val="superscript"/>
        <sz val="10"/>
        <rFont val="Calibri"/>
        <family val="2"/>
        <charset val="238"/>
        <scheme val="minor"/>
      </rPr>
      <t>2</t>
    </r>
    <r>
      <rPr>
        <sz val="10"/>
        <rFont val="Calibri"/>
        <family val="2"/>
        <charset val="238"/>
        <scheme val="minor"/>
      </rPr>
      <t>/f8 mm, toploskrčne cevi z lepilom za zaščito kabelskih čevljev, priklop kabla</t>
    </r>
  </si>
  <si>
    <r>
      <t>Kabelski tulci za zaključek kabla NA2XY-J 4x35 mm</t>
    </r>
    <r>
      <rPr>
        <vertAlign val="superscript"/>
        <sz val="10"/>
        <rFont val="Calibri"/>
        <family val="2"/>
        <charset val="238"/>
        <scheme val="minor"/>
      </rPr>
      <t>2</t>
    </r>
    <r>
      <rPr>
        <sz val="10"/>
        <rFont val="Calibri"/>
        <family val="2"/>
        <charset val="238"/>
        <scheme val="minor"/>
      </rPr>
      <t>, toploskrčne cevi z lepilom za zaščito kabelskih tulcev, priklop kabla</t>
    </r>
  </si>
  <si>
    <r>
      <t xml:space="preserve">Merilna omarica  </t>
    </r>
    <r>
      <rPr>
        <b/>
        <i/>
        <sz val="10"/>
        <rFont val="Calibri"/>
        <family val="2"/>
        <charset val="238"/>
        <scheme val="minor"/>
      </rPr>
      <t xml:space="preserve">M.O. PPzEV (polnilne postaje za električna vozila) </t>
    </r>
    <r>
      <rPr>
        <sz val="10"/>
        <rFont val="Calibri"/>
        <family val="2"/>
        <charset val="238"/>
        <scheme val="minor"/>
      </rPr>
      <t>- tipska prostostoječa kabelska omarica iz nerjaveče pločevine, dimenzij (šxvxg): 450 x 900 x 200 mm (stopnja IP zaščite na prah in vodo je IP54, stopnja odpornosti na udarce pa je IK08), s podstavkom dimenzij (šxvxg): 450 x 100 x 200 mm, montirana na betonski temelj, opremljena z okencem s pogledom na števec, števčno ploščo, vrata opremljena s  ključavnico elektro distribucije, vanjo se vgradi sledeča oprema:</t>
    </r>
  </si>
  <si>
    <r>
      <t xml:space="preserve">Priključno merilna omarica  </t>
    </r>
    <r>
      <rPr>
        <b/>
        <i/>
        <sz val="10"/>
        <rFont val="Calibri"/>
        <family val="2"/>
        <charset val="238"/>
        <scheme val="minor"/>
      </rPr>
      <t xml:space="preserve">P.M.O. P+R (parkirišče P+R) </t>
    </r>
    <r>
      <rPr>
        <sz val="10"/>
        <rFont val="Calibri"/>
        <family val="2"/>
        <charset val="238"/>
        <scheme val="minor"/>
      </rPr>
      <t>- tipska prostostoječa kabelska omarica iz nerjaveče pločevine, dimenzij (šxvxg):300 x 1000 x 200 mm(stopnja IP zaščite na prah in vodo naj bo IP54, stopnja odpornosti na udarce pa IK08), s podstavkom dimenzij (šxvxg): 300 x 100 x 200 mm, montirana na betonski temelj,  razdeljena na priključni in merilni del, merilni del je opremljen z okencem s pogledom na števec, števčno ploščo, PEN zbiralko z izolatorji, vrata opremljena s  ključavnico elektro distribucije, vanjo se vgradi sledeča oprema:</t>
    </r>
  </si>
  <si>
    <r>
      <t>- prenapetostni zaščitni odvodnik 1. stopnje - varistor, I</t>
    </r>
    <r>
      <rPr>
        <vertAlign val="subscript"/>
        <sz val="10"/>
        <rFont val="Calibri"/>
        <family val="2"/>
        <charset val="238"/>
        <scheme val="minor"/>
      </rPr>
      <t>imp</t>
    </r>
    <r>
      <rPr>
        <sz val="10"/>
        <rFont val="Calibri"/>
        <family val="2"/>
        <charset val="238"/>
        <scheme val="minor"/>
      </rPr>
      <t xml:space="preserve"> (10/350)= 12,5 kA, I</t>
    </r>
    <r>
      <rPr>
        <vertAlign val="subscript"/>
        <sz val="10"/>
        <rFont val="Calibri"/>
        <family val="2"/>
        <charset val="238"/>
        <scheme val="minor"/>
      </rPr>
      <t>n</t>
    </r>
    <r>
      <rPr>
        <sz val="10"/>
        <rFont val="Calibri"/>
        <family val="2"/>
        <charset val="238"/>
        <scheme val="minor"/>
      </rPr>
      <t xml:space="preserve"> (8/20)= 25 kA, I</t>
    </r>
    <r>
      <rPr>
        <vertAlign val="subscript"/>
        <sz val="10"/>
        <rFont val="Calibri"/>
        <family val="2"/>
        <charset val="238"/>
        <scheme val="minor"/>
      </rPr>
      <t>max</t>
    </r>
    <r>
      <rPr>
        <sz val="10"/>
        <rFont val="Calibri"/>
        <family val="2"/>
        <charset val="238"/>
        <scheme val="minor"/>
      </rPr>
      <t xml:space="preserve"> (8/20)= 60 kA, U</t>
    </r>
    <r>
      <rPr>
        <vertAlign val="subscript"/>
        <sz val="10"/>
        <rFont val="Calibri"/>
        <family val="2"/>
        <charset val="238"/>
        <scheme val="minor"/>
      </rPr>
      <t>c</t>
    </r>
    <r>
      <rPr>
        <sz val="10"/>
        <rFont val="Calibri"/>
        <family val="2"/>
        <charset val="238"/>
        <scheme val="minor"/>
      </rPr>
      <t>= 320V, U</t>
    </r>
    <r>
      <rPr>
        <vertAlign val="subscript"/>
        <sz val="10"/>
        <rFont val="Calibri"/>
        <family val="2"/>
        <charset val="238"/>
        <scheme val="minor"/>
      </rPr>
      <t>p</t>
    </r>
    <r>
      <rPr>
        <sz val="10"/>
        <rFont val="Calibri"/>
        <family val="2"/>
        <charset val="238"/>
        <scheme val="minor"/>
      </rPr>
      <t>= 1,5 kV, s prikazom stanja kot npr. PROTEC B2S (Iskra zaščite)</t>
    </r>
  </si>
  <si>
    <t>Stigmaflex cev f90 mm (v kolutu) skupaj z original čepi, vodotesnimi spoji, distančniki, koleni, …, položena v kabelsko kanalizacijo</t>
  </si>
  <si>
    <t>Stigmaflex cev f75 mm (v kolutu) skupaj z original čepi, vodotesnimi spoji, distančniki, koleni, …, položena v kabelski rov</t>
  </si>
  <si>
    <t>Stigmaflex cev f40 mm (v kolutu) skupaj z original čepi, vodotesnimi spoji, distančniki, koleni, …, položena v kabelski rov</t>
  </si>
  <si>
    <t>- vgradnja 1x stigmaflex cevi  f90 mm, dolžine 1,5 m, za uvod kablov v kandelaber</t>
  </si>
  <si>
    <t>- vgradnja stigmaflex cevi  f63 mm  za uvod kabla v omaro</t>
  </si>
  <si>
    <t>- vgradnja stigmaflex cevi  f160 mm  za uvod kablov v omaro</t>
  </si>
  <si>
    <r>
      <t>- vgradnja betona C25/30, prereza 0,2 m</t>
    </r>
    <r>
      <rPr>
        <vertAlign val="superscript"/>
        <sz val="10"/>
        <rFont val="Calibri"/>
        <family val="2"/>
        <charset val="238"/>
        <scheme val="minor"/>
      </rPr>
      <t>3</t>
    </r>
    <r>
      <rPr>
        <sz val="10"/>
        <rFont val="Calibri"/>
        <family val="2"/>
        <charset val="238"/>
        <scheme val="minor"/>
      </rPr>
      <t>/m</t>
    </r>
    <r>
      <rPr>
        <vertAlign val="superscript"/>
        <sz val="10"/>
        <rFont val="Calibri"/>
        <family val="2"/>
        <charset val="238"/>
        <scheme val="minor"/>
      </rPr>
      <t>2</t>
    </r>
    <r>
      <rPr>
        <sz val="10"/>
        <rFont val="Calibri"/>
        <family val="2"/>
        <charset val="238"/>
        <scheme val="minor"/>
      </rPr>
      <t xml:space="preserve">, v temelj dimenzij (axbxg): 0,7 x 0,7 x 0,9 m </t>
    </r>
  </si>
  <si>
    <r>
      <t xml:space="preserve">- samo vgradnja temeljnega nastavka s sidri - </t>
    </r>
    <r>
      <rPr>
        <b/>
        <i/>
        <sz val="10"/>
        <rFont val="Calibri"/>
        <family val="2"/>
        <charset val="238"/>
        <scheme val="minor"/>
      </rPr>
      <t>temeljni nastavek s sidri dostavi dobavitelj polnilne postaje</t>
    </r>
  </si>
  <si>
    <r>
      <t>- vgradnja betona C25/30, prereza 0,2 m</t>
    </r>
    <r>
      <rPr>
        <vertAlign val="superscript"/>
        <sz val="10"/>
        <rFont val="Calibri"/>
        <family val="2"/>
        <charset val="238"/>
        <scheme val="minor"/>
      </rPr>
      <t>3</t>
    </r>
    <r>
      <rPr>
        <sz val="10"/>
        <rFont val="Calibri"/>
        <family val="2"/>
        <charset val="238"/>
        <scheme val="minor"/>
      </rPr>
      <t>/m</t>
    </r>
    <r>
      <rPr>
        <vertAlign val="superscript"/>
        <sz val="10"/>
        <rFont val="Calibri"/>
        <family val="2"/>
        <charset val="238"/>
        <scheme val="minor"/>
      </rPr>
      <t>2</t>
    </r>
    <r>
      <rPr>
        <sz val="10"/>
        <rFont val="Calibri"/>
        <family val="2"/>
        <charset val="238"/>
        <scheme val="minor"/>
      </rPr>
      <t xml:space="preserve">, v temelj dimenzij (axbxg): 0,42 x 0,55 x 0,5 m </t>
    </r>
  </si>
  <si>
    <t>Izdelava skupnega temelja za omare ES PPzEV, P.M.O. P+R ijn ES P+R (količine za izdelavo enega temelja)</t>
  </si>
  <si>
    <t>- strojni in deloma ročni izkop jame dimenzij (axbxg): 1,9 x 0,6 x 1,0 m v terenu III. do VI. ktg. (80% v terenu III. in IV. ter  20% v terenu V. in VI. ktg.)</t>
  </si>
  <si>
    <t>Temelj za omare ES PPzEV, P.M.O. P+R ijn ES P+R</t>
  </si>
  <si>
    <t>- vgradnja stigmaflex cevi  f110 mm  za uvod kablov v omaro</t>
  </si>
  <si>
    <t>- vgradnja stigmaflex cevi  f75 mm  za uvod kablov v omaro</t>
  </si>
  <si>
    <r>
      <t>- vgradnja betona C25/30, prereza 0,2 m</t>
    </r>
    <r>
      <rPr>
        <vertAlign val="superscript"/>
        <sz val="10"/>
        <rFont val="Calibri"/>
        <family val="2"/>
        <charset val="238"/>
        <scheme val="minor"/>
      </rPr>
      <t>3</t>
    </r>
    <r>
      <rPr>
        <sz val="10"/>
        <rFont val="Calibri"/>
        <family val="2"/>
        <charset val="238"/>
        <scheme val="minor"/>
      </rPr>
      <t>/m</t>
    </r>
    <r>
      <rPr>
        <vertAlign val="superscript"/>
        <sz val="10"/>
        <rFont val="Calibri"/>
        <family val="2"/>
        <charset val="238"/>
        <scheme val="minor"/>
      </rPr>
      <t>2</t>
    </r>
    <r>
      <rPr>
        <sz val="10"/>
        <rFont val="Calibri"/>
        <family val="2"/>
        <charset val="238"/>
        <scheme val="minor"/>
      </rPr>
      <t xml:space="preserve">, v temelj dimenzij (axbxh): 1,7 x 0,4 x 1,5 m </t>
    </r>
  </si>
  <si>
    <t>LED napajalnik kot npr. LPV-100-24,  vhod 230V AC, izhod 0-4,2 A, 24V DC, moč 100 W, zaščita pred delci in vlago IP67 - za napajanje svetilk S2 (montira se v ES P+R)</t>
  </si>
  <si>
    <t>Komunikacijski zunanji kabel S/FTP 4x2x23 AWG CAT 6, LSOH BrandRex BRX uvlečen v kabelsko kanalizacijo</t>
  </si>
  <si>
    <t>Zaključevanje komunikacijskega kabla U/FTP CAT 6  s konektorjem RJ45 U/UTP CAT 6 (stroj, Wi-Fi točka)</t>
  </si>
  <si>
    <r>
      <t xml:space="preserve">Električni sestav-razdelilnik </t>
    </r>
    <r>
      <rPr>
        <b/>
        <i/>
        <sz val="10"/>
        <rFont val="Calibri"/>
        <family val="2"/>
        <charset val="238"/>
        <scheme val="minor"/>
      </rPr>
      <t xml:space="preserve">ES PPzEV (polnilne postaje za električna vozila) </t>
    </r>
    <r>
      <rPr>
        <sz val="10"/>
        <rFont val="Calibri"/>
        <family val="2"/>
        <charset val="238"/>
        <scheme val="minor"/>
      </rPr>
      <t>- tipska prostostoječa kabelska omarica iz nerjaveče pločevine, dimenzij (šxvxg): 900 x 1200 x 300 mm (stopnja IP zaščite na prah in vodo naj bo IP54, stopnja odpornosti na udarce pa IK08), s podstavkom dimenzij (šxvxg): 900 x 100 x 300 mm, montirana na betonski temelj, vrata opremljena s  ključavnico vzdrževalca polnilnih postaj za električna vozila, ventilacijsko oprtino za dovod svežega zraka v omarico ter ventilacijsko odprtino  za odvod toplega zraka</t>
    </r>
  </si>
  <si>
    <t xml:space="preserve"> </t>
  </si>
  <si>
    <t>- ventilator s filtrom za prezračevanje omare, 230V AC, 19W kot npr. IUKNF2523A  (Schrack), izhodni filter kot npr. IUKNE250 (Schrack) in termostat za prezračevanje 0-60°C s kontaktom NZ, kot npr. IUK08566-- (Schrack)</t>
  </si>
  <si>
    <t>- električni grelec 230V AC, 45 W za razvlaževanje omare, kot npr. IUK08342 (Schrack), regulator temperature in vlage, 0-60°C, 50 - 90%, s preklopnim kontaktom NO/NZ, kot npr. IUK08565-- (Schrack)</t>
  </si>
  <si>
    <t>- prekritje končno za nosilec zbiralk sistema 60 mm</t>
  </si>
  <si>
    <r>
      <t>-razporna sponka za zbiralke 30x10 mm, 95-185 mm</t>
    </r>
    <r>
      <rPr>
        <vertAlign val="superscript"/>
        <sz val="10"/>
        <rFont val="Calibri"/>
        <family val="2"/>
        <charset val="238"/>
        <scheme val="minor"/>
      </rPr>
      <t>2</t>
    </r>
  </si>
  <si>
    <r>
      <t>- priključna sponka za vodnike, za zbiralke 10 mm, 1,5-16 mm</t>
    </r>
    <r>
      <rPr>
        <vertAlign val="superscript"/>
        <sz val="10"/>
        <rFont val="Calibri"/>
        <family val="2"/>
        <charset val="238"/>
        <scheme val="minor"/>
      </rPr>
      <t>2</t>
    </r>
  </si>
  <si>
    <t>- priključna sponka za ploščate vodnike sistema 60 mm</t>
  </si>
  <si>
    <r>
      <t>- zaščitno stikalo na diferenčni tok z nadtokovno zaščito, 230V, I</t>
    </r>
    <r>
      <rPr>
        <vertAlign val="subscript"/>
        <sz val="10"/>
        <rFont val="Calibri"/>
        <family val="2"/>
        <charset val="238"/>
        <scheme val="minor"/>
      </rPr>
      <t>cu</t>
    </r>
    <r>
      <rPr>
        <sz val="10"/>
        <rFont val="Calibri"/>
        <family val="2"/>
        <charset val="238"/>
        <scheme val="minor"/>
      </rPr>
      <t xml:space="preserve"> = 10 kA, dvopolno, tip A, kot npr. BOLF C16A/30 mA (Schrack)</t>
    </r>
  </si>
  <si>
    <r>
      <t>- energetska vrstna sponka 4 mm</t>
    </r>
    <r>
      <rPr>
        <vertAlign val="superscript"/>
        <sz val="10"/>
        <rFont val="Calibri"/>
        <family val="2"/>
        <charset val="238"/>
        <scheme val="minor"/>
      </rPr>
      <t>2</t>
    </r>
    <r>
      <rPr>
        <sz val="10"/>
        <rFont val="Calibri"/>
        <family val="2"/>
        <charset val="238"/>
        <scheme val="minor"/>
      </rPr>
      <t>, montaža na DIN letev</t>
    </r>
  </si>
  <si>
    <t>ES PPzEV</t>
  </si>
  <si>
    <r>
      <t xml:space="preserve">Električni sestav-razdelilnik </t>
    </r>
    <r>
      <rPr>
        <b/>
        <i/>
        <sz val="10"/>
        <rFont val="Calibri"/>
        <family val="2"/>
        <charset val="238"/>
        <scheme val="minor"/>
      </rPr>
      <t xml:space="preserve">ES P+R (parkirišče P+R) </t>
    </r>
    <r>
      <rPr>
        <sz val="10"/>
        <rFont val="Calibri"/>
        <family val="2"/>
        <charset val="238"/>
        <scheme val="minor"/>
      </rPr>
      <t>- tipska prostostoječa kabelska omarica iz nerjaveče pločevine, dimenzij (šxvxg): 300 x 1000 x 200 mm (stopnja IP zaščite na prah in vodo naj bo IP54, stopnja odpornosti na udarce pa IK08), s podstavkom dimenzij (šxvxg): 300 x 100 x 200 mm, montirana na betonski temelj, vrata opremljena s  ključavnico vzdrževalca javne razsvetljave, ventilacijsko oprtino za dovod svežega zraka v omarico ter ventilacijsko odprtino  za odvod toplega zraka</t>
    </r>
  </si>
  <si>
    <r>
      <t>- glavno bremensko ločilno stikalo, montaža na letev, I</t>
    </r>
    <r>
      <rPr>
        <vertAlign val="subscript"/>
        <sz val="10"/>
        <rFont val="Calibri"/>
        <family val="2"/>
        <charset val="238"/>
        <scheme val="minor"/>
      </rPr>
      <t>n</t>
    </r>
    <r>
      <rPr>
        <sz val="10"/>
        <rFont val="Calibri"/>
        <family val="2"/>
        <charset val="238"/>
        <scheme val="minor"/>
      </rPr>
      <t>= 40A, kontaktni sklop 3x (0-1), z indikacijo položaja kontakta, kot npr. BZ900243-- (Schrack)</t>
    </r>
  </si>
  <si>
    <t>- premostitvena tuljava kot npr. PZH L 32/15 (Hermi)</t>
  </si>
  <si>
    <r>
      <t>- prenapetostni zaščitni odvodnik II. stopnje, I</t>
    </r>
    <r>
      <rPr>
        <vertAlign val="subscript"/>
        <sz val="10"/>
        <rFont val="Calibri"/>
        <family val="2"/>
        <charset val="238"/>
        <scheme val="minor"/>
      </rPr>
      <t>n</t>
    </r>
    <r>
      <rPr>
        <sz val="10"/>
        <rFont val="Calibri"/>
        <family val="2"/>
        <charset val="238"/>
        <scheme val="minor"/>
      </rPr>
      <t xml:space="preserve"> (8/20)= 20 kA, štiripolni, s prikazom stanja kot npr. PZH R2 275/50/4+0 (Hermi)</t>
    </r>
  </si>
  <si>
    <t>- tokovno zaščitno stikalo na diferenčni tok, štiripolno, kot npr. BCF0 tip A, izvedba S, 40A/300 mA  (Schrack)</t>
  </si>
  <si>
    <t>- tokovno zaščitno stikalo na diferenčni tok, štiripolno, kot npr. BCF0 tip A, 40A/30 mA  (Schrack)</t>
  </si>
  <si>
    <r>
      <t>- krmilno stikalo za vgradnjo na DIN letev, I</t>
    </r>
    <r>
      <rPr>
        <vertAlign val="subscript"/>
        <sz val="10"/>
        <rFont val="Calibri"/>
        <family val="2"/>
        <charset val="238"/>
        <scheme val="minor"/>
      </rPr>
      <t>n</t>
    </r>
    <r>
      <rPr>
        <sz val="10"/>
        <rFont val="Calibri"/>
        <family val="2"/>
        <charset val="238"/>
        <scheme val="minor"/>
      </rPr>
      <t>=16A, kontaktni sklop 1x (1-0-2), kot npr. BZ106380-- (Schrack)</t>
    </r>
  </si>
  <si>
    <r>
      <t>- energetska vrstna sponka 10 mm</t>
    </r>
    <r>
      <rPr>
        <vertAlign val="superscript"/>
        <sz val="10"/>
        <rFont val="Calibri"/>
        <family val="2"/>
        <charset val="238"/>
        <scheme val="minor"/>
      </rPr>
      <t>2</t>
    </r>
    <r>
      <rPr>
        <sz val="10"/>
        <rFont val="Calibri"/>
        <family val="2"/>
        <charset val="238"/>
        <scheme val="minor"/>
      </rPr>
      <t>, montaža na DIN letev</t>
    </r>
  </si>
  <si>
    <r>
      <t>- PE/N zbiralka 16 mm</t>
    </r>
    <r>
      <rPr>
        <vertAlign val="superscript"/>
        <sz val="10"/>
        <rFont val="Calibri"/>
        <family val="2"/>
        <charset val="238"/>
        <scheme val="minor"/>
      </rPr>
      <t>2</t>
    </r>
    <r>
      <rPr>
        <sz val="10"/>
        <rFont val="Calibri"/>
        <family val="2"/>
        <charset val="238"/>
        <scheme val="minor"/>
      </rPr>
      <t>, dolžine 0,25 m</t>
    </r>
  </si>
  <si>
    <t>ES P+R</t>
  </si>
  <si>
    <t>4.6</t>
  </si>
  <si>
    <t>Polnilne postaje za električna vozila</t>
  </si>
  <si>
    <t xml:space="preserve">Dobava in namestitev električne polnilne postaje za avtomobile:
- moči 2x22 kW in izhodno napetostjo 230V AC in 400V AC,
- z integrirano vtičnico 2x Type 2 (za AC polnjenje),
- z IEC 62196 komunikacijo z vozilom,
- z komunikacijskim protokolom OPCC 1.6 JSON in priloženo specifikacijo parametrov (JSON),
- vgrajeno žično povezavo 100BASE-TX (min. CAT-5) in standardom komunikacije IEEE 802.3 (ethernet mrežna povezava)
- zaščito minimalno IP56 in IK10,
-vgrajenim odklopnimom za vsako polnilno mesto s samodejnim daljinskim vklopom,
- močnostjo omejevanja moči (power management) na vseh vtičnicah na vseh polnilnicah med 3,7kW in 22 kW,
- z vključenim tokovnim zaščitnim stikalom FID 30mA,
- samostoječa postaja za zunanjo postavitev,
- parametriranje postaje (delovanje in power management), testni zagon in ustrene meritve elektro instalacij postaje
</t>
  </si>
  <si>
    <t xml:space="preserve">- priklop postaje na distribucijsko omrežje
- RFID čitalec za omejevanje dostopa
- možnost obračuna storitve polnjenja preko kWh (vgrajen števec elktrične energije za vsako vtičnico na polnilnici)
Predvideti ustrezno grafično podobo polnilnice, ki zajema:
- označbo polnilnice,
-  splošna navodila za uporabo sotritve polnjenja,
- povezavo na aplikacijo za izvajanje storitve polnjenja,
- cenik storitve polnjenja,
- kontakt upravaljalca polnilne infrastrukture
ustreza kot npr.  "Publikum box 1.0", dobavitelja "Vizije mobilnosti d.o.o."
</t>
  </si>
  <si>
    <t>Priklop polnilne postaje na zaledni sistem koncesionarja e-mobilnosti:
- parametriranje zalednega sistema,
- vključitev postaje v zaledni sistem z vzpostavitvijo cenikov in pogojev polnjenja,
- objava polnilne postaje v javnem sistemu polnjenja,
- vzpostavitev javnega polnjenja na vgrajeni postaji,
* opomba: pred pričetkom del, izvajalec predloži ustrezno dokumentacijo za parametriranje OCPP komunikacije (JSON tabelo z opisom posameznih parametrov in opisanim protokolom komunikacije med postajo in zalednim sistemom)
**izvede koncesionar e-mobilnosti: podjetje "Vizije mobilnosti d.o.o., Pot na Polane 22, 1351 Brezovica pri Ljubljani"</t>
  </si>
  <si>
    <t>Modem/router/stikalo (vgrajen v ES PPzEV):
Stikalo: 3× 10/100Mbps LAN , 1× 10/100Mbps LAN/WAN
Mobilne tehnologije: 4G: FDD-LTE Cat4 (800/900/1800/2100/2600MHz), TDD-LTE (2300/2600MHz)
3G: DC-HSPA+/HSPA+/HSPA/UMTS (900/2100MHz)
Standardi: IEEE 802.3i, IEEE 802.3u, IEEE 802.3ab, IEEE 802.3×
Dodatno: reža za SIM kartico in zunanja antena (montaža izven razdelilne omarice)</t>
  </si>
  <si>
    <t>Izdelava nevezane nosilne plasti enakomerno zrnatega drobljenca TD32 iz kamnine v deb. 15 cm. Material mora skladno uredbo ZeJN vsebovati tudi delež recikliranega asfaltnega granulata (rezkanca), ki je nastal ob obnovi te ceste ali je iz drugega vira in sicer v deležu najmanj 5%. (A1)</t>
  </si>
  <si>
    <t>Izdelava nevezane nosilne plasti enakomerno zrnatega drobljenca TD32 iz kamnine v deb. 30 cm. Material mora skladno uredbo ZeJN vsebovati tudi delež recikliranega asfaltnega granulata (rezkanca), ki je nastal ob obnovi te ceste ali je iz drugega vira in sicer v deležu najmanj 5%. (A2)</t>
  </si>
  <si>
    <t>Izdelava nosilne plasti bituminiziranega drobljenca AC 16 base B 70/100 A4, deb. 6 cm. Material mora skladno uredbo ZeJN vsebovati tudi delež recikliranega asfaltnega granulata (rezkanca), ki je nastal ob obnovi te ceste ali je iz drugega vira in sicer v deležu najmanj 5%. (A1)</t>
  </si>
  <si>
    <t>Izdelava obrabnozaporne plasti asfaltnnega betona AC 8 surf B 70/100 A3, deb. 3 cm. Material mora skladno uredbo ZeJN vsebovati tudi delež recikliranega asfaltnega granulata (rezkanca), ki je nastal ob obnovi te ceste ali je iz drugega vira in sicer v deležu najmanj 5%. (A1)</t>
  </si>
  <si>
    <t>Izdelava obrabnozaporne plasti asfaltnnega betona AC 8 surf B 50/70 A5, deb. 4 cm. Material mora skladno uredbo ZeJN vsebovati tudi delež recikliranega asfaltnega granulata (rezkanca), ki je nastal ob obnovi te ceste ali je iz drugega vira in sicer v deležu najmanj 5%. (A2)</t>
  </si>
  <si>
    <t>Izdelava bankine iz gramoza ali naravno zdrobljenega kamnitega materiala, širine do 0,50 m, v deb. 15 cm. Material mora skladno uredbo ZeJN vsebovati tudi delež recikliranega asfaltnega granulata (rezkanca), ki je nastal ob obnovi te ceste ali je iz drugega vira in sicer v deležu najmanj 5%.</t>
  </si>
  <si>
    <t>71 001</t>
  </si>
  <si>
    <t>Gradbeni nadzor nad izvajanjem del.</t>
  </si>
  <si>
    <t>Delež okrasnih rastlin, ki so prilagojene lokalnim razmeram gojenja, znaša najmanj 70 %, pri čemer ni dopustno naročati invazivnih tujerodnih vrst okrasnih rastlin in delež okrasnih medonosnih rastlin znaša najmanj 25 %;</t>
  </si>
  <si>
    <t>Dobava Spiraea x cinerea"Grefsheim" (Siva medvejka), izvor: Japonska-hortikulturna vsrta, medonosnost:5, razdalja sajenja: 60-70cm, opombe: hitra rast, metulji, 3x presajeno, z zastirko iz lubja in folijo proti plevelu.</t>
  </si>
  <si>
    <t>Dobava Cornus stolonifera "Keisey" (svilnati dren), izvor: ZDA-hortikulturna vrsta, medonostnost:3, ornitološka vrednost: gnezdenje, hrana, razdalja sajenja:50cm, opombe: se širi s korenikami, 3x presajeno, z zastirko iz lubja in folijo proti plevelu.</t>
  </si>
  <si>
    <t>Dobava potentila fruticosa (petoprstnik) - beli cvetovi, izvor:Evropa-hortikulturna vrsta, medonosnost:3, ornitološka vrednost:privablja metulje, razdalja sajenja: 60-70cm, 3x presajeno, z zastirko iz lubja in folijo proti plevelu.</t>
  </si>
  <si>
    <t>Dobava Cornus mas (rumeni dren), izvor:Evropa, medonosnost:4, ornitološka vrednost:hrana, 3x presajeno, z zastirko iz lubja in folijo proti plevelu.</t>
  </si>
  <si>
    <t>Dobava Hedera helix "Veriegata" (pisanolistni bršljan) -  izvor: Evropa-hortikulturna vrsta, medonosnost:5, ornitološka vrednost:hrana, razdalja sajenja: 60cm, nizke plazeče pokrovnice, monokromne, s kokosovo mrežo.</t>
  </si>
  <si>
    <t>Dobava Hedera helix (bršljan), izvor: Evropa, medonosnost:5, ornitološka vrednost:hrana, razdalja sajenja: 50-60cm, nizke plazeče pokrovnice, monokromne, s kokosovo mrežo.</t>
  </si>
  <si>
    <t>13 003</t>
  </si>
  <si>
    <t xml:space="preserve">Strošek postavitve začasnega panoja na gradbišču in menjavo slednjega v 30 dneh po zaključku del s stalno ploščo ali panojem,
v celoti skladno s točkama 3.4.3 in 3.4.4 Navodil organa upravljanja na področju komuniciranja vsebin evropske kohezijske politike v programskem obdobju 2014-2020, 
ki so dostopna na spletnem naslovu: https://www.eu-skladi.si/sl/dokumenti/navodila/navodila-za-komuniciranje-vsebin-2014-2020_1-sprememba_koncno.doc;
</t>
  </si>
  <si>
    <t xml:space="preserve">Izdelava opaža točkovnega temelja za montažo zapornice, dobava in postavitev rebrastih žic d12 in d14 iz visokovrednega naravno trdnega jekla b St 420 S, dobavo in vgradnjo podložnega betona C12/15 prereza 0,15 m2/m3, dobavo in vgradnjo temelja s cementnim betonom C25/30 prereza 0,16 do 0,3 m3/,2.  </t>
  </si>
  <si>
    <t xml:space="preserve">P.M.O. P+R (parkirišče P+R) </t>
  </si>
  <si>
    <t>4.1.</t>
  </si>
  <si>
    <t>4.2.</t>
  </si>
  <si>
    <t>ELEKTROMONTAŽNA DELA - PARKIRIŠČE</t>
  </si>
  <si>
    <t xml:space="preserve">4.3.  Električni sestav </t>
  </si>
  <si>
    <t>4.4.   Video nadzor</t>
  </si>
  <si>
    <t>4.5.</t>
  </si>
  <si>
    <t>4.6.   Polnilne postaje za električna vozila</t>
  </si>
  <si>
    <t xml:space="preserve"> REKAPITULACIJA STROŠKOV  A+B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</si>
</sst>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 #,##0.00\ &quot;€&quot;_-;\-* #,##0.00\ &quot;€&quot;_-;_-* &quot;-&quot;??\ &quot;€&quot;_-;_-@_-"/>
    <numFmt numFmtId="43" formatCode="_-* #,##0.00\ _€_-;\-* #,##0.00\ _€_-;_-* &quot;-&quot;??\ _€_-;_-@_-"/>
    <numFmt numFmtId="164" formatCode="dd&quot;.&quot;mmm"/>
    <numFmt numFmtId="165" formatCode="#,##0.00&quot; &quot;[$€-424];[Red]&quot;-&quot;#,##0.00&quot; &quot;[$€-424]"/>
    <numFmt numFmtId="166" formatCode="&quot;SIT&quot;#,##0_);&quot;(SIT&quot;#,##0\)"/>
    <numFmt numFmtId="167" formatCode="mmmm\ d&quot;, &quot;yyyy"/>
    <numFmt numFmtId="168" formatCode="#,##0.00\ [$€-424];\-#,##0.00\ [$€-424]"/>
    <numFmt numFmtId="169" formatCode="#,##0.00&quot; m2&quot;"/>
    <numFmt numFmtId="170" formatCode="#,##0.00&quot; €&quot;"/>
    <numFmt numFmtId="171" formatCode="_-* #,##0&quot; SIT&quot;_-;\-* #,##0&quot; SIT&quot;_-;_-* &quot;- SIT&quot;_-;_-@_-"/>
    <numFmt numFmtId="172" formatCode="#,##0.00\ _S_I_T"/>
    <numFmt numFmtId="173" formatCode="0.0"/>
    <numFmt numFmtId="174" formatCode="_-* #,##0.00\ [$€-1]_-;\-* #,##0.00\ [$€-1]_-;_-* &quot;-&quot;??\ [$€-1]_-;_-@_-"/>
    <numFmt numFmtId="175" formatCode="#,##0.00\ &quot;€&quot;"/>
  </numFmts>
  <fonts count="113">
    <font>
      <sz val="11"/>
      <color rgb="FF000000"/>
      <name val="Arial CE"/>
      <charset val="238"/>
    </font>
    <font>
      <sz val="11"/>
      <color theme="1"/>
      <name val="Calibri"/>
      <family val="2"/>
      <charset val="238"/>
      <scheme val="minor"/>
    </font>
    <font>
      <b/>
      <i/>
      <sz val="16"/>
      <color rgb="FF000000"/>
      <name val="Arial CE"/>
      <charset val="238"/>
    </font>
    <font>
      <sz val="10"/>
      <color rgb="FF000000"/>
      <name val="Arial"/>
      <family val="2"/>
      <charset val="238"/>
    </font>
    <font>
      <b/>
      <i/>
      <u/>
      <sz val="11"/>
      <color rgb="FF000000"/>
      <name val="Arial CE"/>
      <charset val="238"/>
    </font>
    <font>
      <sz val="10"/>
      <color rgb="FF000000"/>
      <name val="Arial CE"/>
      <charset val="238"/>
    </font>
    <font>
      <sz val="12"/>
      <color rgb="FF000000"/>
      <name val="Arial CE"/>
      <charset val="238"/>
    </font>
    <font>
      <b/>
      <sz val="12"/>
      <color rgb="FF000000"/>
      <name val="Arial CE"/>
      <charset val="238"/>
    </font>
    <font>
      <b/>
      <sz val="18"/>
      <color rgb="FF000000"/>
      <name val="Arial CE"/>
      <charset val="238"/>
    </font>
    <font>
      <b/>
      <sz val="14"/>
      <color rgb="FF000000"/>
      <name val="Arial CE"/>
      <charset val="238"/>
    </font>
    <font>
      <sz val="14"/>
      <color rgb="FF000000"/>
      <name val="Arial CE"/>
      <charset val="238"/>
    </font>
    <font>
      <b/>
      <sz val="11"/>
      <color rgb="FF000000"/>
      <name val="Arial CE"/>
      <charset val="238"/>
    </font>
    <font>
      <sz val="11"/>
      <color rgb="FF000000"/>
      <name val="Arial"/>
      <family val="2"/>
      <charset val="238"/>
    </font>
    <font>
      <b/>
      <sz val="16"/>
      <color rgb="FF000000"/>
      <name val="Arial CE"/>
      <charset val="238"/>
    </font>
    <font>
      <b/>
      <sz val="10"/>
      <color rgb="FF000000"/>
      <name val="Arial CE"/>
      <charset val="238"/>
    </font>
    <font>
      <i/>
      <sz val="12"/>
      <color rgb="FF000000"/>
      <name val="Arial CE"/>
      <charset val="238"/>
    </font>
    <font>
      <i/>
      <sz val="10"/>
      <color rgb="FF000000"/>
      <name val="Arial CE"/>
      <charset val="238"/>
    </font>
    <font>
      <b/>
      <i/>
      <sz val="10"/>
      <color rgb="FF000000"/>
      <name val="Arial CE"/>
      <charset val="238"/>
    </font>
    <font>
      <sz val="9"/>
      <color rgb="FF000000"/>
      <name val="Arial CE"/>
      <charset val="238"/>
    </font>
    <font>
      <sz val="8"/>
      <color rgb="FF000000"/>
      <name val="Arial CE"/>
      <charset val="238"/>
    </font>
    <font>
      <b/>
      <sz val="8"/>
      <color rgb="FF000000"/>
      <name val="Arial CE"/>
      <charset val="238"/>
    </font>
    <font>
      <sz val="10"/>
      <name val="Arial"/>
      <family val="2"/>
      <charset val="238"/>
    </font>
    <font>
      <b/>
      <sz val="18"/>
      <name val="Arial"/>
      <family val="2"/>
      <charset val="238"/>
    </font>
    <font>
      <b/>
      <sz val="12"/>
      <name val="Arial"/>
      <family val="2"/>
      <charset val="238"/>
    </font>
    <font>
      <b/>
      <sz val="10"/>
      <name val="Calibri"/>
      <family val="2"/>
      <charset val="238"/>
      <scheme val="minor"/>
    </font>
    <font>
      <sz val="10"/>
      <name val="Calibri"/>
      <family val="2"/>
      <charset val="238"/>
      <scheme val="minor"/>
    </font>
    <font>
      <sz val="12"/>
      <name val="Calibri"/>
      <family val="2"/>
      <charset val="238"/>
      <scheme val="minor"/>
    </font>
    <font>
      <sz val="11"/>
      <name val="Calibri"/>
      <family val="2"/>
      <charset val="238"/>
      <scheme val="minor"/>
    </font>
    <font>
      <b/>
      <sz val="12"/>
      <name val="Calibri"/>
      <family val="2"/>
      <charset val="238"/>
      <scheme val="minor"/>
    </font>
    <font>
      <sz val="8"/>
      <name val="Calibri"/>
      <family val="2"/>
      <charset val="238"/>
      <scheme val="minor"/>
    </font>
    <font>
      <b/>
      <sz val="10"/>
      <color indexed="10"/>
      <name val="Calibri"/>
      <family val="2"/>
      <charset val="238"/>
      <scheme val="minor"/>
    </font>
    <font>
      <b/>
      <sz val="10"/>
      <name val="Arial CE"/>
      <family val="2"/>
      <charset val="238"/>
    </font>
    <font>
      <b/>
      <sz val="10"/>
      <name val="SLO Arial"/>
      <charset val="238"/>
    </font>
    <font>
      <sz val="10"/>
      <name val="Arial CE"/>
      <family val="2"/>
      <charset val="238"/>
    </font>
    <font>
      <sz val="10"/>
      <name val="Eurostar"/>
      <family val="2"/>
      <charset val="1"/>
    </font>
    <font>
      <sz val="10"/>
      <color indexed="10"/>
      <name val="Calibri"/>
      <family val="2"/>
      <charset val="238"/>
      <scheme val="minor"/>
    </font>
    <font>
      <b/>
      <sz val="8"/>
      <name val="Calibri"/>
      <family val="2"/>
      <charset val="238"/>
      <scheme val="minor"/>
    </font>
    <font>
      <sz val="10"/>
      <color indexed="8"/>
      <name val="Calibri"/>
      <family val="2"/>
      <charset val="238"/>
      <scheme val="minor"/>
    </font>
    <font>
      <sz val="10"/>
      <color rgb="FFFF0000"/>
      <name val="Calibri"/>
      <family val="2"/>
      <charset val="238"/>
      <scheme val="minor"/>
    </font>
    <font>
      <i/>
      <sz val="10"/>
      <name val="Calibri"/>
      <family val="2"/>
      <charset val="238"/>
      <scheme val="minor"/>
    </font>
    <font>
      <b/>
      <i/>
      <sz val="10"/>
      <name val="Calibri"/>
      <family val="2"/>
      <charset val="238"/>
      <scheme val="minor"/>
    </font>
    <font>
      <b/>
      <sz val="10"/>
      <color rgb="FFFF0000"/>
      <name val="Calibri"/>
      <family val="2"/>
      <charset val="238"/>
      <scheme val="minor"/>
    </font>
    <font>
      <b/>
      <sz val="10"/>
      <color indexed="8"/>
      <name val="Calibri"/>
      <family val="2"/>
      <charset val="238"/>
      <scheme val="minor"/>
    </font>
    <font>
      <sz val="10"/>
      <name val="Eurostar"/>
      <family val="2"/>
      <charset val="238"/>
    </font>
    <font>
      <b/>
      <sz val="10"/>
      <name val="Calibri"/>
      <family val="2"/>
      <scheme val="minor"/>
    </font>
    <font>
      <sz val="9"/>
      <color rgb="FFFF0000"/>
      <name val="Calibri"/>
      <family val="2"/>
      <charset val="238"/>
      <scheme val="minor"/>
    </font>
    <font>
      <vertAlign val="superscript"/>
      <sz val="10"/>
      <name val="Calibri"/>
      <family val="2"/>
      <charset val="238"/>
      <scheme val="minor"/>
    </font>
    <font>
      <sz val="10"/>
      <name val="SLO Arial"/>
      <family val="2"/>
      <charset val="238"/>
    </font>
    <font>
      <sz val="10"/>
      <name val="Arial CE"/>
      <charset val="238"/>
    </font>
    <font>
      <sz val="10"/>
      <name val="Myriad Pro"/>
      <family val="2"/>
    </font>
    <font>
      <sz val="10"/>
      <color indexed="9"/>
      <name val="Myriad Pro"/>
      <family val="2"/>
    </font>
    <font>
      <b/>
      <sz val="11"/>
      <name val="Myriad Pro"/>
      <family val="2"/>
    </font>
    <font>
      <b/>
      <sz val="10"/>
      <name val="Myriad Pro"/>
      <family val="2"/>
    </font>
    <font>
      <sz val="11"/>
      <name val="Myriad Pro"/>
      <family val="2"/>
    </font>
    <font>
      <i/>
      <sz val="10"/>
      <name val="Myriad Pro"/>
      <family val="2"/>
    </font>
    <font>
      <b/>
      <sz val="10"/>
      <name val="Arial"/>
      <family val="2"/>
      <charset val="238"/>
    </font>
    <font>
      <b/>
      <i/>
      <sz val="10"/>
      <name val="Arial"/>
      <family val="2"/>
      <charset val="238"/>
    </font>
    <font>
      <b/>
      <i/>
      <sz val="11"/>
      <name val="Arial"/>
      <family val="2"/>
      <charset val="238"/>
    </font>
    <font>
      <b/>
      <i/>
      <sz val="10"/>
      <name val="Myriad Pro"/>
      <family val="2"/>
    </font>
    <font>
      <sz val="11"/>
      <name val="Arial CE"/>
      <charset val="238"/>
    </font>
    <font>
      <b/>
      <u/>
      <sz val="10"/>
      <color rgb="FFFF0000"/>
      <name val="Myriad Pro"/>
      <family val="2"/>
    </font>
    <font>
      <b/>
      <u/>
      <sz val="10"/>
      <color rgb="FFFF0000"/>
      <name val="Arial"/>
      <family val="2"/>
      <charset val="238"/>
    </font>
    <font>
      <sz val="10"/>
      <name val="Arial"/>
      <family val="2"/>
    </font>
    <font>
      <b/>
      <i/>
      <sz val="11"/>
      <name val="Myriad Pro"/>
      <family val="2"/>
    </font>
    <font>
      <sz val="11"/>
      <color indexed="10"/>
      <name val="Myriad Pro"/>
      <family val="2"/>
    </font>
    <font>
      <sz val="10"/>
      <color indexed="10"/>
      <name val="Myriad Pro"/>
      <family val="2"/>
    </font>
    <font>
      <b/>
      <sz val="10"/>
      <color indexed="10"/>
      <name val="Myriad Pro"/>
      <family val="2"/>
    </font>
    <font>
      <sz val="10"/>
      <color indexed="8"/>
      <name val="Myriad Pro"/>
      <family val="2"/>
    </font>
    <font>
      <b/>
      <sz val="9"/>
      <name val="Calibri"/>
      <family val="2"/>
      <charset val="238"/>
      <scheme val="minor"/>
    </font>
    <font>
      <sz val="8"/>
      <color rgb="FFFF0000"/>
      <name val="Calibri"/>
      <family val="2"/>
      <charset val="238"/>
      <scheme val="minor"/>
    </font>
    <font>
      <b/>
      <sz val="9"/>
      <color indexed="81"/>
      <name val="Segoe UI"/>
      <family val="2"/>
      <charset val="238"/>
    </font>
    <font>
      <sz val="9"/>
      <color indexed="81"/>
      <name val="Segoe UI"/>
      <family val="2"/>
      <charset val="238"/>
    </font>
    <font>
      <sz val="10"/>
      <color theme="1"/>
      <name val="Calibri"/>
      <family val="2"/>
      <charset val="238"/>
      <scheme val="minor"/>
    </font>
    <font>
      <b/>
      <sz val="10"/>
      <color theme="1"/>
      <name val="Calibri"/>
      <family val="2"/>
      <charset val="238"/>
      <scheme val="minor"/>
    </font>
    <font>
      <b/>
      <sz val="10"/>
      <color rgb="FF000000"/>
      <name val="Calibri AC"/>
      <charset val="238"/>
    </font>
    <font>
      <sz val="10"/>
      <color rgb="FF000000"/>
      <name val="Calibri AC"/>
      <charset val="238"/>
    </font>
    <font>
      <sz val="12"/>
      <color theme="1"/>
      <name val="Times New Roman"/>
      <family val="1"/>
      <charset val="238"/>
    </font>
    <font>
      <sz val="10"/>
      <color theme="1"/>
      <name val="Calibri AC"/>
      <charset val="238"/>
    </font>
    <font>
      <b/>
      <sz val="10"/>
      <color theme="1"/>
      <name val="Calibri AC"/>
      <charset val="238"/>
    </font>
    <font>
      <b/>
      <sz val="12"/>
      <color theme="1"/>
      <name val="Calibri AC"/>
      <charset val="238"/>
    </font>
    <font>
      <b/>
      <i/>
      <sz val="11"/>
      <name val="Arial Narrow"/>
      <family val="2"/>
    </font>
    <font>
      <b/>
      <i/>
      <sz val="10"/>
      <name val="Arial Narrow"/>
      <family val="2"/>
    </font>
    <font>
      <b/>
      <i/>
      <sz val="14"/>
      <name val="Arial Narrow"/>
      <family val="2"/>
    </font>
    <font>
      <sz val="11"/>
      <name val="Arial"/>
      <family val="2"/>
    </font>
    <font>
      <b/>
      <sz val="11"/>
      <name val="Arial"/>
      <family val="2"/>
    </font>
    <font>
      <b/>
      <sz val="11"/>
      <name val="Arial Narrow"/>
      <family val="2"/>
    </font>
    <font>
      <b/>
      <sz val="11"/>
      <name val="Arial"/>
      <family val="2"/>
      <charset val="238"/>
    </font>
    <font>
      <sz val="11"/>
      <name val="Arial"/>
      <family val="2"/>
      <charset val="238"/>
    </font>
    <font>
      <sz val="11"/>
      <name val="Arial CE"/>
      <family val="2"/>
      <charset val="238"/>
    </font>
    <font>
      <b/>
      <i/>
      <sz val="11"/>
      <name val="Arial"/>
      <family val="2"/>
    </font>
    <font>
      <b/>
      <sz val="11"/>
      <color theme="1"/>
      <name val="Arial"/>
      <family val="2"/>
      <charset val="238"/>
    </font>
    <font>
      <sz val="11"/>
      <name val="Arial Narrow"/>
      <family val="2"/>
      <charset val="238"/>
    </font>
    <font>
      <sz val="11"/>
      <name val="Arial Narrow"/>
      <family val="2"/>
    </font>
    <font>
      <i/>
      <sz val="11"/>
      <name val="Arial"/>
      <family val="2"/>
      <charset val="238"/>
    </font>
    <font>
      <b/>
      <i/>
      <sz val="14"/>
      <name val="Arial Narrow"/>
      <family val="2"/>
      <charset val="238"/>
    </font>
    <font>
      <sz val="14"/>
      <name val="Arial"/>
      <family val="2"/>
      <charset val="238"/>
    </font>
    <font>
      <b/>
      <sz val="11"/>
      <name val="Arial CE"/>
      <charset val="238"/>
    </font>
    <font>
      <sz val="11"/>
      <name val="Symbol"/>
      <family val="1"/>
      <charset val="2"/>
    </font>
    <font>
      <sz val="11"/>
      <name val="Microsoft Sans Serif"/>
      <family val="2"/>
      <charset val="238"/>
    </font>
    <font>
      <vertAlign val="superscript"/>
      <sz val="11"/>
      <name val="Arial"/>
      <family val="2"/>
      <charset val="238"/>
    </font>
    <font>
      <sz val="11"/>
      <name val="Symbol"/>
      <family val="1"/>
      <charset val="238"/>
    </font>
    <font>
      <vertAlign val="superscript"/>
      <sz val="11"/>
      <name val="Arial CE"/>
      <family val="2"/>
      <charset val="238"/>
    </font>
    <font>
      <sz val="10"/>
      <color indexed="9"/>
      <name val="Calibri"/>
      <family val="2"/>
      <charset val="238"/>
      <scheme val="minor"/>
    </font>
    <font>
      <b/>
      <i/>
      <u/>
      <sz val="10"/>
      <name val="Calibri"/>
      <family val="2"/>
      <charset val="238"/>
      <scheme val="minor"/>
    </font>
    <font>
      <vertAlign val="subscript"/>
      <sz val="10"/>
      <name val="Calibri"/>
      <family val="2"/>
      <charset val="238"/>
      <scheme val="minor"/>
    </font>
    <font>
      <sz val="11"/>
      <color rgb="FF000000"/>
      <name val="Arial CE"/>
      <charset val="238"/>
    </font>
    <font>
      <b/>
      <i/>
      <sz val="11"/>
      <name val="Calibri"/>
      <family val="2"/>
      <charset val="238"/>
      <scheme val="minor"/>
    </font>
    <font>
      <b/>
      <sz val="10"/>
      <color theme="1"/>
      <name val="SLO Arial"/>
      <charset val="238"/>
    </font>
    <font>
      <sz val="10"/>
      <color theme="1"/>
      <name val="Arial CE"/>
      <family val="2"/>
      <charset val="238"/>
    </font>
    <font>
      <sz val="10"/>
      <color theme="1"/>
      <name val="Eurostar"/>
      <family val="2"/>
      <charset val="1"/>
    </font>
    <font>
      <b/>
      <sz val="11"/>
      <name val="Calibri"/>
      <family val="2"/>
      <charset val="238"/>
      <scheme val="minor"/>
    </font>
    <font>
      <b/>
      <i/>
      <sz val="12"/>
      <name val="Calibri"/>
      <family val="2"/>
      <charset val="238"/>
      <scheme val="minor"/>
    </font>
    <font>
      <b/>
      <sz val="12"/>
      <color theme="1"/>
      <name val="Calibri"/>
      <family val="2"/>
      <charset val="238"/>
      <scheme val="minor"/>
    </font>
  </fonts>
  <fills count="7">
    <fill>
      <patternFill patternType="none"/>
    </fill>
    <fill>
      <patternFill patternType="gray125"/>
    </fill>
    <fill>
      <patternFill patternType="solid">
        <fgColor rgb="FF00B050"/>
        <bgColor indexed="64"/>
      </patternFill>
    </fill>
    <fill>
      <patternFill patternType="solid">
        <fgColor rgb="FF00B0F0"/>
        <bgColor indexed="64"/>
      </patternFill>
    </fill>
    <fill>
      <patternFill patternType="solid">
        <fgColor theme="8" tint="0.59999389629810485"/>
        <bgColor indexed="64"/>
      </patternFill>
    </fill>
    <fill>
      <patternFill patternType="solid">
        <fgColor indexed="42"/>
        <bgColor indexed="64"/>
      </patternFill>
    </fill>
    <fill>
      <patternFill patternType="solid">
        <fgColor theme="4" tint="0.79998168889431442"/>
        <bgColor indexed="64"/>
      </patternFill>
    </fill>
  </fills>
  <borders count="27">
    <border>
      <left/>
      <right/>
      <top/>
      <bottom/>
      <diagonal/>
    </border>
    <border>
      <left/>
      <right/>
      <top style="thin">
        <color rgb="FF000000"/>
      </top>
      <bottom style="thin">
        <color rgb="FF000000"/>
      </bottom>
      <diagonal/>
    </border>
    <border>
      <left/>
      <right/>
      <top style="thin">
        <color rgb="FF000000"/>
      </top>
      <bottom style="double">
        <color rgb="FF000000"/>
      </bottom>
      <diagonal/>
    </border>
    <border>
      <left/>
      <right/>
      <top style="double">
        <color indexed="8"/>
      </top>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top/>
      <bottom/>
      <diagonal/>
    </border>
    <border>
      <left/>
      <right/>
      <top style="thin">
        <color indexed="64"/>
      </top>
      <bottom style="medium">
        <color indexed="64"/>
      </bottom>
      <diagonal/>
    </border>
    <border>
      <left/>
      <right/>
      <top style="thin">
        <color indexed="64"/>
      </top>
      <bottom/>
      <diagonal/>
    </border>
    <border>
      <left/>
      <right/>
      <top style="medium">
        <color indexed="64"/>
      </top>
      <bottom style="thin">
        <color indexed="64"/>
      </bottom>
      <diagonal/>
    </border>
    <border>
      <left/>
      <right/>
      <top/>
      <bottom style="thin">
        <color indexed="64"/>
      </bottom>
      <diagonal/>
    </border>
    <border>
      <left/>
      <right/>
      <top style="hair">
        <color indexed="8"/>
      </top>
      <bottom style="double">
        <color indexed="8"/>
      </bottom>
      <diagonal/>
    </border>
    <border>
      <left/>
      <right/>
      <top style="hair">
        <color indexed="8"/>
      </top>
      <bottom style="hair">
        <color indexed="8"/>
      </bottom>
      <diagonal/>
    </border>
    <border>
      <left/>
      <right/>
      <top/>
      <bottom style="hair">
        <color indexed="8"/>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hair">
        <color indexed="64"/>
      </bottom>
      <diagonal/>
    </border>
    <border>
      <left/>
      <right/>
      <top style="medium">
        <color indexed="64"/>
      </top>
      <bottom/>
      <diagonal/>
    </border>
    <border>
      <left/>
      <right/>
      <top style="thin">
        <color auto="1"/>
      </top>
      <bottom/>
      <diagonal/>
    </border>
    <border>
      <left/>
      <right/>
      <top/>
      <bottom style="medium">
        <color indexed="64"/>
      </bottom>
      <diagonal/>
    </border>
    <border>
      <left style="thin">
        <color indexed="8"/>
      </left>
      <right/>
      <top style="thin">
        <color indexed="8"/>
      </top>
      <bottom style="thin">
        <color indexed="8"/>
      </bottom>
      <diagonal/>
    </border>
  </borders>
  <cellStyleXfs count="30">
    <xf numFmtId="0" fontId="0" fillId="0" borderId="0"/>
    <xf numFmtId="0" fontId="2" fillId="0" borderId="0" applyNumberFormat="0" applyBorder="0" applyProtection="0">
      <alignment horizontal="center"/>
    </xf>
    <xf numFmtId="0" fontId="2" fillId="0" borderId="0" applyNumberFormat="0" applyBorder="0" applyProtection="0">
      <alignment horizontal="center" textRotation="90"/>
    </xf>
    <xf numFmtId="0" fontId="3" fillId="0" borderId="0" applyNumberFormat="0" applyBorder="0" applyProtection="0"/>
    <xf numFmtId="0" fontId="4" fillId="0" borderId="0" applyNumberFormat="0" applyBorder="0" applyProtection="0"/>
    <xf numFmtId="165" fontId="4" fillId="0" borderId="0" applyBorder="0" applyProtection="0"/>
    <xf numFmtId="0" fontId="21" fillId="0" borderId="0"/>
    <xf numFmtId="0" fontId="21" fillId="0" borderId="0"/>
    <xf numFmtId="37" fontId="21" fillId="0" borderId="0" applyFill="0" applyBorder="0" applyAlignment="0" applyProtection="0"/>
    <xf numFmtId="166" fontId="21" fillId="0" borderId="0" applyFill="0" applyBorder="0" applyAlignment="0" applyProtection="0"/>
    <xf numFmtId="167" fontId="21" fillId="0" borderId="0" applyFill="0" applyBorder="0" applyAlignment="0" applyProtection="0"/>
    <xf numFmtId="2" fontId="21" fillId="0" borderId="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1" fillId="0" borderId="3" applyNumberFormat="0" applyFill="0" applyAlignment="0" applyProtection="0"/>
    <xf numFmtId="0" fontId="48" fillId="0" borderId="0"/>
    <xf numFmtId="0" fontId="21" fillId="0" borderId="0"/>
    <xf numFmtId="0" fontId="1" fillId="0" borderId="0"/>
    <xf numFmtId="43" fontId="1" fillId="0" borderId="0" applyFont="0" applyFill="0" applyBorder="0" applyAlignment="0" applyProtection="0"/>
    <xf numFmtId="0" fontId="48" fillId="0" borderId="0"/>
    <xf numFmtId="0" fontId="21" fillId="0" borderId="0"/>
    <xf numFmtId="0" fontId="21" fillId="0" borderId="0"/>
    <xf numFmtId="0" fontId="21" fillId="0" borderId="0"/>
    <xf numFmtId="0" fontId="48" fillId="0" borderId="0"/>
    <xf numFmtId="0" fontId="48" fillId="0" borderId="0"/>
    <xf numFmtId="0" fontId="48" fillId="0" borderId="0"/>
    <xf numFmtId="0" fontId="62" fillId="0" borderId="0">
      <alignment vertical="center"/>
    </xf>
    <xf numFmtId="0" fontId="48" fillId="0" borderId="0"/>
    <xf numFmtId="0" fontId="21" fillId="0" borderId="0"/>
    <xf numFmtId="43" fontId="105" fillId="0" borderId="0" applyFont="0" applyFill="0" applyBorder="0" applyAlignment="0" applyProtection="0"/>
  </cellStyleXfs>
  <cellXfs count="1025">
    <xf numFmtId="0" fontId="0" fillId="0" borderId="0" xfId="0"/>
    <xf numFmtId="0" fontId="0" fillId="0" borderId="0" xfId="0" applyAlignment="1">
      <alignment vertical="top"/>
    </xf>
    <xf numFmtId="4" fontId="0" fillId="0" borderId="0" xfId="0" applyNumberFormat="1" applyAlignment="1">
      <alignment horizontal="center"/>
    </xf>
    <xf numFmtId="4" fontId="0" fillId="0" borderId="0" xfId="0" applyNumberFormat="1"/>
    <xf numFmtId="0" fontId="6" fillId="0" borderId="0" xfId="0" applyFont="1"/>
    <xf numFmtId="0" fontId="7" fillId="0" borderId="0" xfId="0" applyFont="1"/>
    <xf numFmtId="4" fontId="7" fillId="0" borderId="0" xfId="0" applyNumberFormat="1" applyFont="1" applyAlignment="1">
      <alignment horizontal="center"/>
    </xf>
    <xf numFmtId="0" fontId="8" fillId="0" borderId="0" xfId="0" applyFont="1" applyAlignment="1">
      <alignment horizontal="left"/>
    </xf>
    <xf numFmtId="0" fontId="9" fillId="0" borderId="0" xfId="0" applyFont="1"/>
    <xf numFmtId="4" fontId="9" fillId="0" borderId="0" xfId="0" applyNumberFormat="1" applyFont="1" applyAlignment="1">
      <alignment horizontal="left"/>
    </xf>
    <xf numFmtId="4" fontId="10" fillId="0" borderId="0" xfId="0" applyNumberFormat="1" applyFont="1"/>
    <xf numFmtId="0" fontId="10" fillId="0" borderId="0" xfId="0" applyFont="1"/>
    <xf numFmtId="0" fontId="11" fillId="0" borderId="0" xfId="0" applyFont="1"/>
    <xf numFmtId="0" fontId="9" fillId="0" borderId="0" xfId="0" applyFont="1" applyAlignment="1">
      <alignment vertical="top"/>
    </xf>
    <xf numFmtId="0" fontId="11" fillId="0" borderId="0" xfId="0" applyFont="1" applyAlignment="1">
      <alignment horizontal="center"/>
    </xf>
    <xf numFmtId="4" fontId="0" fillId="0" borderId="0" xfId="0" applyNumberFormat="1" applyAlignment="1">
      <alignment horizontal="left"/>
    </xf>
    <xf numFmtId="4" fontId="11" fillId="0" borderId="0" xfId="0" applyNumberFormat="1" applyFont="1" applyAlignment="1">
      <alignment horizontal="left"/>
    </xf>
    <xf numFmtId="0" fontId="6" fillId="0" borderId="0" xfId="0" applyFont="1" applyAlignment="1">
      <alignment vertical="top"/>
    </xf>
    <xf numFmtId="0" fontId="13" fillId="0" borderId="0" xfId="0" applyFont="1"/>
    <xf numFmtId="4" fontId="6" fillId="0" borderId="0" xfId="0" applyNumberFormat="1" applyFont="1" applyAlignment="1">
      <alignment horizontal="center"/>
    </xf>
    <xf numFmtId="4" fontId="6" fillId="0" borderId="0" xfId="0" applyNumberFormat="1" applyFont="1"/>
    <xf numFmtId="0" fontId="7" fillId="0" borderId="0" xfId="0" applyFont="1" applyAlignment="1">
      <alignment vertical="top"/>
    </xf>
    <xf numFmtId="4" fontId="7" fillId="0" borderId="0" xfId="0" applyNumberFormat="1" applyFont="1"/>
    <xf numFmtId="0" fontId="7" fillId="0" borderId="1" xfId="0" applyFont="1" applyBorder="1"/>
    <xf numFmtId="4" fontId="6" fillId="0" borderId="1" xfId="0" applyNumberFormat="1" applyFont="1" applyBorder="1" applyAlignment="1">
      <alignment horizontal="center"/>
    </xf>
    <xf numFmtId="4" fontId="6" fillId="0" borderId="1" xfId="0" applyNumberFormat="1" applyFont="1" applyBorder="1"/>
    <xf numFmtId="4" fontId="7" fillId="0" borderId="1" xfId="0" applyNumberFormat="1" applyFont="1" applyBorder="1"/>
    <xf numFmtId="4" fontId="7" fillId="0" borderId="1" xfId="0" applyNumberFormat="1" applyFont="1" applyBorder="1" applyAlignment="1">
      <alignment horizontal="center"/>
    </xf>
    <xf numFmtId="0" fontId="7" fillId="0" borderId="0" xfId="0" applyFont="1" applyFill="1" applyAlignment="1">
      <alignment vertical="top"/>
    </xf>
    <xf numFmtId="0" fontId="7" fillId="0" borderId="2" xfId="0" applyFont="1" applyFill="1" applyBorder="1"/>
    <xf numFmtId="4" fontId="7" fillId="0" borderId="2" xfId="0" applyNumberFormat="1" applyFont="1" applyFill="1" applyBorder="1" applyAlignment="1">
      <alignment horizontal="center"/>
    </xf>
    <xf numFmtId="4" fontId="7" fillId="0" borderId="2" xfId="0" applyNumberFormat="1" applyFont="1" applyFill="1" applyBorder="1"/>
    <xf numFmtId="0" fontId="0" fillId="0" borderId="0" xfId="0" applyFill="1"/>
    <xf numFmtId="0" fontId="5" fillId="0" borderId="0" xfId="0" applyFont="1" applyAlignment="1">
      <alignment horizontal="left"/>
    </xf>
    <xf numFmtId="49" fontId="5" fillId="0" borderId="0" xfId="0" applyNumberFormat="1" applyFont="1" applyFill="1" applyAlignment="1">
      <alignment horizontal="left" vertical="top"/>
    </xf>
    <xf numFmtId="4" fontId="5" fillId="0" borderId="0" xfId="0" applyNumberFormat="1" applyFont="1" applyFill="1" applyAlignment="1">
      <alignment vertical="top" wrapText="1"/>
    </xf>
    <xf numFmtId="4" fontId="5" fillId="0" borderId="0" xfId="0" applyNumberFormat="1" applyFont="1" applyFill="1" applyAlignment="1">
      <alignment horizontal="center"/>
    </xf>
    <xf numFmtId="4" fontId="5" fillId="0" borderId="0" xfId="0" applyNumberFormat="1" applyFont="1" applyFill="1" applyAlignment="1">
      <alignment horizontal="right"/>
    </xf>
    <xf numFmtId="4" fontId="5" fillId="0" borderId="0" xfId="0" applyNumberFormat="1" applyFont="1" applyFill="1"/>
    <xf numFmtId="49" fontId="7" fillId="0" borderId="0" xfId="0" applyNumberFormat="1" applyFont="1" applyFill="1" applyAlignment="1">
      <alignment horizontal="left" vertical="top"/>
    </xf>
    <xf numFmtId="4" fontId="7" fillId="0" borderId="0" xfId="0" applyNumberFormat="1" applyFont="1" applyFill="1" applyAlignment="1">
      <alignment vertical="top" wrapText="1"/>
    </xf>
    <xf numFmtId="4" fontId="7" fillId="0" borderId="0" xfId="0" applyNumberFormat="1" applyFont="1" applyFill="1" applyAlignment="1">
      <alignment vertical="top"/>
    </xf>
    <xf numFmtId="4" fontId="15" fillId="0" borderId="0" xfId="0" applyNumberFormat="1" applyFont="1" applyFill="1"/>
    <xf numFmtId="4" fontId="14" fillId="0" borderId="0" xfId="0" applyNumberFormat="1" applyFont="1" applyFill="1"/>
    <xf numFmtId="49" fontId="14" fillId="0" borderId="0" xfId="0" applyNumberFormat="1" applyFont="1" applyFill="1" applyAlignment="1">
      <alignment horizontal="left" vertical="top"/>
    </xf>
    <xf numFmtId="4" fontId="14" fillId="0" borderId="0" xfId="0" applyNumberFormat="1" applyFont="1" applyFill="1" applyAlignment="1">
      <alignment vertical="top"/>
    </xf>
    <xf numFmtId="4" fontId="16" fillId="0" borderId="0" xfId="0" applyNumberFormat="1" applyFont="1" applyFill="1"/>
    <xf numFmtId="4" fontId="5" fillId="0" borderId="0" xfId="0" applyNumberFormat="1" applyFont="1" applyFill="1" applyAlignment="1">
      <alignment vertical="top"/>
    </xf>
    <xf numFmtId="4" fontId="5" fillId="0" borderId="0" xfId="0" applyNumberFormat="1" applyFont="1" applyFill="1" applyAlignment="1"/>
    <xf numFmtId="4" fontId="14" fillId="0" borderId="2" xfId="0" applyNumberFormat="1" applyFont="1" applyFill="1" applyBorder="1" applyAlignment="1">
      <alignment vertical="top"/>
    </xf>
    <xf numFmtId="4" fontId="5" fillId="0" borderId="2" xfId="0" applyNumberFormat="1" applyFont="1" applyFill="1" applyBorder="1" applyAlignment="1">
      <alignment horizontal="center"/>
    </xf>
    <xf numFmtId="4" fontId="5" fillId="0" borderId="2" xfId="0" applyNumberFormat="1" applyFont="1" applyFill="1" applyBorder="1"/>
    <xf numFmtId="4" fontId="14" fillId="0" borderId="2" xfId="0" applyNumberFormat="1" applyFont="1" applyFill="1" applyBorder="1" applyAlignment="1">
      <alignment vertical="top" wrapText="1"/>
    </xf>
    <xf numFmtId="4" fontId="14" fillId="0" borderId="0" xfId="0" applyNumberFormat="1" applyFont="1" applyFill="1" applyAlignment="1">
      <alignment vertical="top" wrapText="1"/>
    </xf>
    <xf numFmtId="49" fontId="0" fillId="0" borderId="0" xfId="0" applyNumberFormat="1" applyFill="1"/>
    <xf numFmtId="0" fontId="5" fillId="0" borderId="0" xfId="0" applyFont="1" applyFill="1"/>
    <xf numFmtId="49" fontId="7" fillId="0" borderId="0" xfId="0" applyNumberFormat="1" applyFont="1" applyFill="1" applyAlignment="1">
      <alignment vertical="top"/>
    </xf>
    <xf numFmtId="0" fontId="7" fillId="0" borderId="0" xfId="0" applyFont="1" applyFill="1" applyAlignment="1">
      <alignment vertical="top" wrapText="1"/>
    </xf>
    <xf numFmtId="4" fontId="7" fillId="0" borderId="0" xfId="0" applyNumberFormat="1" applyFont="1" applyFill="1" applyAlignment="1">
      <alignment horizontal="center"/>
    </xf>
    <xf numFmtId="4" fontId="7" fillId="0" borderId="0" xfId="0" applyNumberFormat="1" applyFont="1" applyFill="1"/>
    <xf numFmtId="0" fontId="6" fillId="0" borderId="0" xfId="0" applyFont="1" applyFill="1"/>
    <xf numFmtId="49" fontId="14" fillId="0" borderId="0" xfId="0" applyNumberFormat="1" applyFont="1" applyFill="1" applyAlignment="1">
      <alignment vertical="top"/>
    </xf>
    <xf numFmtId="0" fontId="14" fillId="0" borderId="0" xfId="0" applyFont="1" applyFill="1"/>
    <xf numFmtId="4" fontId="17" fillId="0" borderId="0" xfId="0" applyNumberFormat="1" applyFont="1" applyFill="1" applyAlignment="1">
      <alignment horizontal="center"/>
    </xf>
    <xf numFmtId="4" fontId="17" fillId="0" borderId="0" xfId="0" applyNumberFormat="1" applyFont="1" applyFill="1"/>
    <xf numFmtId="0" fontId="16" fillId="0" borderId="0" xfId="0" applyFont="1" applyFill="1"/>
    <xf numFmtId="0" fontId="14" fillId="0" borderId="0" xfId="0" applyFont="1" applyFill="1" applyAlignment="1">
      <alignment vertical="top"/>
    </xf>
    <xf numFmtId="49" fontId="5" fillId="0" borderId="0" xfId="0" applyNumberFormat="1" applyFont="1" applyFill="1" applyAlignment="1">
      <alignment vertical="top"/>
    </xf>
    <xf numFmtId="0" fontId="5" fillId="0" borderId="0" xfId="0" applyFont="1" applyFill="1" applyAlignment="1">
      <alignment vertical="top" wrapText="1"/>
    </xf>
    <xf numFmtId="49" fontId="5" fillId="0" borderId="0" xfId="0" applyNumberFormat="1" applyFont="1" applyFill="1"/>
    <xf numFmtId="0" fontId="14" fillId="0" borderId="2" xfId="0" applyFont="1" applyFill="1" applyBorder="1" applyAlignment="1">
      <alignment vertical="top" wrapText="1"/>
    </xf>
    <xf numFmtId="0" fontId="14" fillId="0" borderId="2" xfId="0" applyFont="1" applyFill="1" applyBorder="1"/>
    <xf numFmtId="4" fontId="14" fillId="0" borderId="2" xfId="0" applyNumberFormat="1" applyFont="1" applyFill="1" applyBorder="1"/>
    <xf numFmtId="0" fontId="14" fillId="0" borderId="0" xfId="0" applyFont="1" applyFill="1" applyAlignment="1">
      <alignment vertical="top" wrapText="1"/>
    </xf>
    <xf numFmtId="49" fontId="18" fillId="0" borderId="0" xfId="0" applyNumberFormat="1" applyFont="1" applyFill="1"/>
    <xf numFmtId="0" fontId="18" fillId="0" borderId="0" xfId="0" applyFont="1" applyFill="1"/>
    <xf numFmtId="0" fontId="18" fillId="0" borderId="0" xfId="0" applyFont="1" applyFill="1" applyAlignment="1">
      <alignment horizontal="center"/>
    </xf>
    <xf numFmtId="0" fontId="5" fillId="0" borderId="0" xfId="0" applyFont="1" applyFill="1" applyAlignment="1">
      <alignment horizontal="center"/>
    </xf>
    <xf numFmtId="49" fontId="18" fillId="0" borderId="0" xfId="0" applyNumberFormat="1" applyFont="1" applyFill="1" applyAlignment="1">
      <alignment vertical="top"/>
    </xf>
    <xf numFmtId="0" fontId="18" fillId="0" borderId="0" xfId="0" applyFont="1" applyFill="1" applyAlignment="1">
      <alignment vertical="top" wrapText="1"/>
    </xf>
    <xf numFmtId="4" fontId="18" fillId="0" borderId="0" xfId="0" applyNumberFormat="1" applyFont="1" applyFill="1"/>
    <xf numFmtId="49" fontId="19" fillId="0" borderId="0" xfId="0" applyNumberFormat="1" applyFont="1" applyFill="1"/>
    <xf numFmtId="0" fontId="19" fillId="0" borderId="0" xfId="0" applyFont="1" applyFill="1" applyAlignment="1">
      <alignment vertical="top" wrapText="1"/>
    </xf>
    <xf numFmtId="0" fontId="19" fillId="0" borderId="0" xfId="0" applyFont="1" applyFill="1" applyAlignment="1">
      <alignment horizontal="center"/>
    </xf>
    <xf numFmtId="4" fontId="19" fillId="0" borderId="0" xfId="0" applyNumberFormat="1" applyFont="1" applyFill="1"/>
    <xf numFmtId="0" fontId="19" fillId="0" borderId="0" xfId="0" applyFont="1" applyFill="1"/>
    <xf numFmtId="164" fontId="5" fillId="0" borderId="0" xfId="0" applyNumberFormat="1" applyFont="1" applyFill="1" applyAlignment="1">
      <alignment vertical="top"/>
    </xf>
    <xf numFmtId="0" fontId="19" fillId="0" borderId="0" xfId="0" applyFont="1"/>
    <xf numFmtId="0" fontId="5" fillId="0" borderId="0" xfId="0" applyFont="1"/>
    <xf numFmtId="0" fontId="5" fillId="0" borderId="0" xfId="0" applyFont="1" applyAlignment="1">
      <alignment horizontal="left" wrapText="1"/>
    </xf>
    <xf numFmtId="49" fontId="20" fillId="0" borderId="0" xfId="0" applyNumberFormat="1" applyFont="1" applyFill="1" applyAlignment="1">
      <alignment vertical="top"/>
    </xf>
    <xf numFmtId="0" fontId="20" fillId="0" borderId="0" xfId="0" applyFont="1" applyFill="1" applyAlignment="1">
      <alignment vertical="top" wrapText="1"/>
    </xf>
    <xf numFmtId="4" fontId="19" fillId="0" borderId="0" xfId="0" applyNumberFormat="1" applyFont="1" applyFill="1" applyAlignment="1">
      <alignment horizontal="center"/>
    </xf>
    <xf numFmtId="4" fontId="5" fillId="0" borderId="0" xfId="0" applyNumberFormat="1" applyFont="1" applyFill="1" applyAlignment="1" applyProtection="1">
      <alignment horizontal="right"/>
      <protection locked="0"/>
    </xf>
    <xf numFmtId="4" fontId="5" fillId="0" borderId="0" xfId="0" applyNumberFormat="1" applyFont="1" applyFill="1" applyProtection="1">
      <protection locked="0"/>
    </xf>
    <xf numFmtId="4" fontId="5" fillId="0" borderId="2" xfId="0" applyNumberFormat="1" applyFont="1" applyFill="1" applyBorder="1" applyAlignment="1" applyProtection="1">
      <alignment horizontal="right"/>
      <protection locked="0"/>
    </xf>
    <xf numFmtId="4" fontId="14" fillId="0" borderId="0" xfId="0" applyNumberFormat="1" applyFont="1" applyFill="1" applyProtection="1">
      <protection locked="0"/>
    </xf>
    <xf numFmtId="4" fontId="7" fillId="0" borderId="0" xfId="0" applyNumberFormat="1" applyFont="1" applyFill="1" applyProtection="1">
      <protection locked="0"/>
    </xf>
    <xf numFmtId="4" fontId="17" fillId="0" borderId="0" xfId="0" applyNumberFormat="1" applyFont="1" applyFill="1" applyProtection="1">
      <protection locked="0"/>
    </xf>
    <xf numFmtId="4" fontId="14" fillId="0" borderId="2" xfId="0" applyNumberFormat="1" applyFont="1" applyFill="1" applyBorder="1" applyProtection="1">
      <protection locked="0"/>
    </xf>
    <xf numFmtId="0" fontId="18" fillId="0" borderId="0" xfId="0" applyFont="1" applyFill="1" applyProtection="1">
      <protection locked="0"/>
    </xf>
    <xf numFmtId="0" fontId="5" fillId="0" borderId="0" xfId="0" applyFont="1" applyFill="1" applyProtection="1">
      <protection locked="0"/>
    </xf>
    <xf numFmtId="4" fontId="18" fillId="0" borderId="0" xfId="0" applyNumberFormat="1" applyFont="1" applyFill="1" applyProtection="1">
      <protection locked="0"/>
    </xf>
    <xf numFmtId="4" fontId="19" fillId="0" borderId="0" xfId="0" applyNumberFormat="1" applyFont="1" applyFill="1" applyProtection="1">
      <protection locked="0"/>
    </xf>
    <xf numFmtId="0" fontId="0" fillId="0" borderId="0" xfId="0" applyFill="1" applyProtection="1">
      <protection locked="0"/>
    </xf>
    <xf numFmtId="49" fontId="25" fillId="0" borderId="0" xfId="6" applyNumberFormat="1" applyFont="1" applyBorder="1" applyAlignment="1">
      <alignment horizontal="center" vertical="center"/>
    </xf>
    <xf numFmtId="0" fontId="25" fillId="0" borderId="0" xfId="6" applyFont="1" applyBorder="1" applyAlignment="1">
      <alignment horizontal="left" vertical="center" wrapText="1"/>
    </xf>
    <xf numFmtId="49" fontId="26" fillId="0" borderId="4" xfId="6" applyNumberFormat="1" applyFont="1" applyBorder="1"/>
    <xf numFmtId="0" fontId="24" fillId="0" borderId="4" xfId="6" applyFont="1" applyBorder="1" applyAlignment="1">
      <alignment horizontal="left" vertical="center" wrapText="1"/>
    </xf>
    <xf numFmtId="0" fontId="29" fillId="0" borderId="0" xfId="6" applyFont="1"/>
    <xf numFmtId="0" fontId="29" fillId="0" borderId="6" xfId="6" applyFont="1" applyBorder="1"/>
    <xf numFmtId="0" fontId="29" fillId="0" borderId="7" xfId="6" applyFont="1" applyBorder="1" applyAlignment="1">
      <alignment horizontal="left" vertical="top" wrapText="1"/>
    </xf>
    <xf numFmtId="49" fontId="29" fillId="0" borderId="6" xfId="6" applyNumberFormat="1" applyFont="1" applyBorder="1" applyAlignment="1">
      <alignment horizontal="center"/>
    </xf>
    <xf numFmtId="0" fontId="29" fillId="0" borderId="0" xfId="6" applyFont="1" applyAlignment="1">
      <alignment horizontal="left" vertical="top" wrapText="1"/>
    </xf>
    <xf numFmtId="49" fontId="29" fillId="0" borderId="0" xfId="6" applyNumberFormat="1" applyFont="1"/>
    <xf numFmtId="0" fontId="29" fillId="0" borderId="0" xfId="6" applyFont="1" applyBorder="1"/>
    <xf numFmtId="0" fontId="29" fillId="0" borderId="0" xfId="6" applyFont="1" applyBorder="1" applyAlignment="1">
      <alignment horizontal="left" vertical="top" wrapText="1"/>
    </xf>
    <xf numFmtId="49" fontId="29" fillId="0" borderId="0" xfId="6" applyNumberFormat="1" applyFont="1" applyBorder="1"/>
    <xf numFmtId="0" fontId="29" fillId="0" borderId="0" xfId="7" applyFont="1" applyBorder="1"/>
    <xf numFmtId="0" fontId="29" fillId="0" borderId="0" xfId="7" applyFont="1" applyBorder="1" applyAlignment="1">
      <alignment horizontal="left" vertical="top" wrapText="1"/>
    </xf>
    <xf numFmtId="49" fontId="29" fillId="0" borderId="0" xfId="7" applyNumberFormat="1" applyFont="1" applyBorder="1" applyAlignment="1">
      <alignment horizontal="center"/>
    </xf>
    <xf numFmtId="0" fontId="28" fillId="0" borderId="4" xfId="7" applyFont="1" applyBorder="1" applyAlignment="1">
      <alignment horizontal="left" vertical="center" wrapText="1"/>
    </xf>
    <xf numFmtId="49" fontId="26" fillId="0" borderId="4" xfId="7" applyNumberFormat="1" applyFont="1" applyBorder="1" applyAlignment="1">
      <alignment horizontal="center"/>
    </xf>
    <xf numFmtId="0" fontId="27" fillId="0" borderId="0" xfId="7" applyFont="1" applyBorder="1" applyAlignment="1">
      <alignment horizontal="left" vertical="center" wrapText="1"/>
    </xf>
    <xf numFmtId="49" fontId="26" fillId="0" borderId="0" xfId="7" applyNumberFormat="1" applyFont="1" applyBorder="1" applyAlignment="1">
      <alignment horizontal="center"/>
    </xf>
    <xf numFmtId="0" fontId="26" fillId="0" borderId="0" xfId="7" applyFont="1" applyBorder="1" applyAlignment="1">
      <alignment horizontal="left" vertical="top" wrapText="1"/>
    </xf>
    <xf numFmtId="0" fontId="29" fillId="0" borderId="0" xfId="7" applyFont="1"/>
    <xf numFmtId="0" fontId="25" fillId="0" borderId="0" xfId="7" applyFont="1" applyBorder="1" applyAlignment="1">
      <alignment horizontal="left" vertical="top" wrapText="1"/>
    </xf>
    <xf numFmtId="49" fontId="25" fillId="0" borderId="0" xfId="7" applyNumberFormat="1" applyFont="1" applyBorder="1" applyAlignment="1">
      <alignment horizontal="center"/>
    </xf>
    <xf numFmtId="0" fontId="36" fillId="0" borderId="0" xfId="7" applyFont="1" applyBorder="1" applyAlignment="1">
      <alignment horizontal="center"/>
    </xf>
    <xf numFmtId="39" fontId="24" fillId="0" borderId="4" xfId="7" applyNumberFormat="1" applyFont="1" applyBorder="1" applyAlignment="1">
      <alignment horizontal="left" vertical="center" wrapText="1"/>
    </xf>
    <xf numFmtId="49" fontId="24" fillId="0" borderId="4" xfId="7" applyNumberFormat="1" applyFont="1" applyBorder="1" applyAlignment="1">
      <alignment horizontal="center" vertical="center"/>
    </xf>
    <xf numFmtId="0" fontId="25" fillId="0" borderId="0" xfId="7" applyFont="1"/>
    <xf numFmtId="0" fontId="25" fillId="0" borderId="0" xfId="6" applyFont="1" applyBorder="1" applyAlignment="1">
      <alignment horizontal="center" vertical="center"/>
    </xf>
    <xf numFmtId="0" fontId="24" fillId="0" borderId="0" xfId="6" applyFont="1" applyBorder="1" applyAlignment="1">
      <alignment horizontal="center" vertical="center"/>
    </xf>
    <xf numFmtId="0" fontId="25" fillId="0" borderId="0" xfId="6" applyNumberFormat="1" applyFont="1" applyBorder="1" applyAlignment="1">
      <alignment horizontal="center" vertical="center"/>
    </xf>
    <xf numFmtId="0" fontId="25" fillId="0" borderId="0" xfId="6" applyFont="1" applyAlignment="1">
      <alignment horizontal="left" vertical="top" wrapText="1"/>
    </xf>
    <xf numFmtId="49" fontId="25" fillId="0" borderId="0" xfId="6" applyNumberFormat="1" applyFont="1" applyBorder="1" applyAlignment="1">
      <alignment horizontal="left" vertical="top"/>
    </xf>
    <xf numFmtId="0" fontId="24" fillId="0" borderId="0" xfId="6" applyFont="1" applyAlignment="1">
      <alignment horizontal="left" vertical="top" wrapText="1"/>
    </xf>
    <xf numFmtId="0" fontId="25" fillId="0" borderId="0" xfId="6" applyFont="1" applyFill="1" applyBorder="1" applyAlignment="1">
      <alignment horizontal="center" vertical="center"/>
    </xf>
    <xf numFmtId="49" fontId="25" fillId="0" borderId="0" xfId="6" applyNumberFormat="1" applyFont="1" applyFill="1" applyBorder="1" applyAlignment="1">
      <alignment horizontal="left" vertical="top"/>
    </xf>
    <xf numFmtId="0" fontId="24" fillId="0" borderId="0" xfId="6" applyFont="1" applyFill="1" applyBorder="1" applyAlignment="1">
      <alignment horizontal="center" vertical="center"/>
    </xf>
    <xf numFmtId="0" fontId="24" fillId="0" borderId="0" xfId="7" applyFont="1" applyBorder="1" applyAlignment="1">
      <alignment horizontal="center" vertical="center"/>
    </xf>
    <xf numFmtId="0" fontId="24" fillId="0" borderId="0" xfId="7" applyFont="1" applyBorder="1" applyAlignment="1">
      <alignment horizontal="center" vertical="center" wrapText="1"/>
    </xf>
    <xf numFmtId="4" fontId="24" fillId="0" borderId="0" xfId="7" applyNumberFormat="1" applyFont="1" applyBorder="1" applyAlignment="1">
      <alignment horizontal="center" vertical="center"/>
    </xf>
    <xf numFmtId="4" fontId="25" fillId="0" borderId="0" xfId="7" applyNumberFormat="1" applyFont="1" applyFill="1" applyBorder="1" applyAlignment="1">
      <alignment horizontal="center" vertical="center"/>
    </xf>
    <xf numFmtId="4" fontId="25" fillId="0" borderId="0" xfId="6" applyNumberFormat="1" applyFont="1" applyAlignment="1">
      <alignment horizontal="left" vertical="top" wrapText="1"/>
    </xf>
    <xf numFmtId="169" fontId="25" fillId="0" borderId="0" xfId="6" applyNumberFormat="1" applyFont="1" applyAlignment="1">
      <alignment horizontal="left" vertical="top" wrapText="1"/>
    </xf>
    <xf numFmtId="0" fontId="39" fillId="0" borderId="0" xfId="7" applyFont="1" applyBorder="1" applyAlignment="1">
      <alignment horizontal="center" vertical="center"/>
    </xf>
    <xf numFmtId="0" fontId="40" fillId="0" borderId="0" xfId="7" applyFont="1" applyBorder="1" applyAlignment="1">
      <alignment horizontal="center" vertical="center"/>
    </xf>
    <xf numFmtId="0" fontId="25" fillId="0" borderId="0" xfId="7" applyNumberFormat="1" applyFont="1" applyBorder="1" applyAlignment="1">
      <alignment horizontal="center" vertical="center"/>
    </xf>
    <xf numFmtId="4" fontId="38" fillId="0" borderId="0" xfId="7" applyNumberFormat="1" applyFont="1" applyBorder="1" applyAlignment="1">
      <alignment horizontal="center" vertical="center"/>
    </xf>
    <xf numFmtId="49" fontId="25" fillId="0" borderId="0" xfId="7" applyNumberFormat="1" applyFont="1" applyBorder="1" applyAlignment="1">
      <alignment horizontal="left" vertical="top" wrapText="1"/>
    </xf>
    <xf numFmtId="4" fontId="25" fillId="0" borderId="0" xfId="7" applyNumberFormat="1" applyFont="1" applyBorder="1" applyAlignment="1">
      <alignment horizontal="center" vertical="center"/>
    </xf>
    <xf numFmtId="49" fontId="25" fillId="0" borderId="0" xfId="7" applyNumberFormat="1" applyFont="1" applyBorder="1" applyAlignment="1">
      <alignment horizontal="left" vertical="top"/>
    </xf>
    <xf numFmtId="0" fontId="24" fillId="0" borderId="0" xfId="7" applyNumberFormat="1" applyFont="1" applyBorder="1" applyAlignment="1">
      <alignment horizontal="center" vertical="center" wrapText="1"/>
    </xf>
    <xf numFmtId="0" fontId="41" fillId="0" borderId="0" xfId="7" applyFont="1" applyBorder="1" applyAlignment="1">
      <alignment horizontal="center" vertical="center" wrapText="1"/>
    </xf>
    <xf numFmtId="49" fontId="24" fillId="0" borderId="0" xfId="7" applyNumberFormat="1" applyFont="1" applyBorder="1" applyAlignment="1">
      <alignment horizontal="left" vertical="top"/>
    </xf>
    <xf numFmtId="0" fontId="25" fillId="0" borderId="0" xfId="7" applyFont="1" applyBorder="1" applyAlignment="1">
      <alignment horizontal="center" vertical="center"/>
    </xf>
    <xf numFmtId="0" fontId="24" fillId="0" borderId="0" xfId="7" applyFont="1"/>
    <xf numFmtId="0" fontId="24" fillId="0" borderId="0" xfId="7" applyFont="1" applyBorder="1" applyAlignment="1">
      <alignment horizontal="left" vertical="top" wrapText="1"/>
    </xf>
    <xf numFmtId="4" fontId="43" fillId="0" borderId="0" xfId="6" applyNumberFormat="1" applyFont="1" applyAlignment="1">
      <alignment horizontal="left" vertical="top" wrapText="1"/>
    </xf>
    <xf numFmtId="0" fontId="35" fillId="0" borderId="0" xfId="7" applyFont="1"/>
    <xf numFmtId="0" fontId="30" fillId="0" borderId="0" xfId="7" applyFont="1"/>
    <xf numFmtId="4" fontId="44" fillId="0" borderId="0" xfId="6" applyNumberFormat="1" applyFont="1" applyAlignment="1">
      <alignment horizontal="left" vertical="top" wrapText="1"/>
    </xf>
    <xf numFmtId="4" fontId="38" fillId="0" borderId="0" xfId="6" applyNumberFormat="1" applyFont="1" applyAlignment="1">
      <alignment horizontal="left" vertical="top" wrapText="1"/>
    </xf>
    <xf numFmtId="4" fontId="25" fillId="0" borderId="0" xfId="7" applyNumberFormat="1" applyFont="1" applyAlignment="1">
      <alignment horizontal="center" vertical="center"/>
    </xf>
    <xf numFmtId="4" fontId="38" fillId="0" borderId="0" xfId="7" applyNumberFormat="1" applyFont="1" applyAlignment="1">
      <alignment horizontal="center" vertical="center"/>
    </xf>
    <xf numFmtId="4" fontId="38" fillId="0" borderId="0" xfId="6" applyNumberFormat="1" applyFont="1" applyBorder="1" applyAlignment="1">
      <alignment horizontal="center" vertical="center"/>
    </xf>
    <xf numFmtId="0" fontId="24" fillId="0" borderId="0" xfId="7" applyNumberFormat="1" applyFont="1" applyBorder="1" applyAlignment="1">
      <alignment horizontal="center" vertical="center"/>
    </xf>
    <xf numFmtId="0" fontId="41" fillId="0" borderId="0" xfId="7" applyFont="1" applyBorder="1" applyAlignment="1">
      <alignment horizontal="center" vertical="center"/>
    </xf>
    <xf numFmtId="168" fontId="34" fillId="0" borderId="0" xfId="7" applyNumberFormat="1" applyFont="1" applyAlignment="1">
      <alignment horizontal="right" vertical="center"/>
    </xf>
    <xf numFmtId="0" fontId="34" fillId="0" borderId="0" xfId="6" applyFont="1" applyAlignment="1">
      <alignment horizontal="center" vertical="center"/>
    </xf>
    <xf numFmtId="4" fontId="34" fillId="0" borderId="0" xfId="7" applyNumberFormat="1" applyFont="1" applyAlignment="1">
      <alignment horizontal="center" vertical="center"/>
    </xf>
    <xf numFmtId="0" fontId="34" fillId="0" borderId="0" xfId="7" applyFont="1" applyAlignment="1">
      <alignment horizontal="left" vertical="center" wrapText="1"/>
    </xf>
    <xf numFmtId="4" fontId="34" fillId="0" borderId="0" xfId="6" applyNumberFormat="1" applyFont="1" applyAlignment="1">
      <alignment horizontal="center" vertical="center"/>
    </xf>
    <xf numFmtId="0" fontId="34" fillId="0" borderId="0" xfId="6" applyFont="1" applyAlignment="1">
      <alignment horizontal="left" vertical="center" wrapText="1"/>
    </xf>
    <xf numFmtId="49" fontId="34" fillId="0" borderId="0" xfId="6" applyNumberFormat="1" applyFont="1" applyAlignment="1">
      <alignment horizontal="left" vertical="top"/>
    </xf>
    <xf numFmtId="49" fontId="24" fillId="0" borderId="0" xfId="6" applyNumberFormat="1" applyFont="1" applyBorder="1" applyAlignment="1">
      <alignment horizontal="left" vertical="top"/>
    </xf>
    <xf numFmtId="0" fontId="34" fillId="0" borderId="0" xfId="7" applyFont="1" applyAlignment="1">
      <alignment horizontal="center" vertical="center"/>
    </xf>
    <xf numFmtId="0" fontId="35" fillId="0" borderId="0" xfId="6" applyNumberFormat="1" applyFont="1" applyBorder="1" applyAlignment="1">
      <alignment horizontal="center" vertical="center"/>
    </xf>
    <xf numFmtId="0" fontId="35" fillId="0" borderId="0" xfId="6" applyFont="1" applyAlignment="1">
      <alignment horizontal="left" vertical="top" wrapText="1"/>
    </xf>
    <xf numFmtId="49" fontId="30" fillId="0" borderId="0" xfId="6" applyNumberFormat="1" applyFont="1" applyBorder="1" applyAlignment="1">
      <alignment horizontal="left" vertical="top"/>
    </xf>
    <xf numFmtId="0" fontId="40" fillId="0" borderId="0" xfId="7" applyFont="1" applyBorder="1" applyAlignment="1">
      <alignment horizontal="center" vertical="center" wrapText="1"/>
    </xf>
    <xf numFmtId="171" fontId="25" fillId="0" borderId="0" xfId="7" applyNumberFormat="1" applyFont="1" applyBorder="1" applyAlignment="1">
      <alignment horizontal="center" vertical="center"/>
    </xf>
    <xf numFmtId="0" fontId="39" fillId="0" borderId="0" xfId="7" applyFont="1" applyBorder="1" applyAlignment="1">
      <alignment horizontal="center" vertical="center" wrapText="1"/>
    </xf>
    <xf numFmtId="0" fontId="32" fillId="0" borderId="0" xfId="7" applyFont="1" applyAlignment="1">
      <alignment horizontal="center" vertical="center"/>
    </xf>
    <xf numFmtId="0" fontId="21" fillId="0" borderId="0" xfId="7" applyFont="1" applyAlignment="1">
      <alignment vertical="center"/>
    </xf>
    <xf numFmtId="49" fontId="34" fillId="0" borderId="0" xfId="7" applyNumberFormat="1" applyFont="1" applyAlignment="1">
      <alignment horizontal="left" vertical="center" wrapText="1"/>
    </xf>
    <xf numFmtId="168" fontId="34" fillId="0" borderId="0" xfId="7" applyNumberFormat="1" applyFont="1" applyAlignment="1">
      <alignment horizontal="center" vertical="center"/>
    </xf>
    <xf numFmtId="0" fontId="47" fillId="0" borderId="0" xfId="7" applyFont="1" applyAlignment="1">
      <alignment horizontal="center" vertical="center"/>
    </xf>
    <xf numFmtId="0" fontId="24" fillId="0" borderId="0" xfId="7" applyFont="1" applyBorder="1" applyAlignment="1">
      <alignment horizontal="left" vertical="center"/>
    </xf>
    <xf numFmtId="0" fontId="24" fillId="0" borderId="5" xfId="7" applyNumberFormat="1" applyFont="1" applyBorder="1" applyAlignment="1">
      <alignment horizontal="center" vertical="center"/>
    </xf>
    <xf numFmtId="0" fontId="49" fillId="0" borderId="0" xfId="15" applyFont="1"/>
    <xf numFmtId="0" fontId="50" fillId="0" borderId="0" xfId="15" applyFont="1"/>
    <xf numFmtId="0" fontId="51" fillId="0" borderId="0" xfId="15" applyFont="1"/>
    <xf numFmtId="0" fontId="53" fillId="0" borderId="0" xfId="15" applyFont="1"/>
    <xf numFmtId="0" fontId="54" fillId="0" borderId="0" xfId="15" applyFont="1"/>
    <xf numFmtId="0" fontId="49" fillId="0" borderId="0" xfId="15" applyFont="1" applyFill="1"/>
    <xf numFmtId="0" fontId="53" fillId="0" borderId="0" xfId="15" applyFont="1" applyFill="1"/>
    <xf numFmtId="0" fontId="21" fillId="0" borderId="0" xfId="15" applyFont="1"/>
    <xf numFmtId="0" fontId="21" fillId="0" borderId="0" xfId="15" applyFont="1" applyAlignment="1">
      <alignment horizontal="justify" vertical="top"/>
    </xf>
    <xf numFmtId="0" fontId="21" fillId="2" borderId="0" xfId="15" applyFont="1" applyFill="1"/>
    <xf numFmtId="0" fontId="21" fillId="0" borderId="0" xfId="15" applyFont="1" applyFill="1"/>
    <xf numFmtId="0" fontId="55" fillId="0" borderId="0" xfId="15" applyFont="1"/>
    <xf numFmtId="0" fontId="21" fillId="3" borderId="0" xfId="15" applyFont="1" applyFill="1"/>
    <xf numFmtId="0" fontId="27" fillId="0" borderId="0" xfId="16" applyFont="1" applyAlignment="1">
      <alignment wrapText="1"/>
    </xf>
    <xf numFmtId="49" fontId="27" fillId="0" borderId="0" xfId="16" applyNumberFormat="1" applyFont="1" applyAlignment="1">
      <alignment horizontal="right" vertical="top" wrapText="1"/>
    </xf>
    <xf numFmtId="0" fontId="21" fillId="0" borderId="0" xfId="15" applyFont="1" applyAlignment="1">
      <alignment vertical="top"/>
    </xf>
    <xf numFmtId="0" fontId="21" fillId="0" borderId="0" xfId="15" applyFont="1" applyFill="1" applyAlignment="1">
      <alignment vertical="top"/>
    </xf>
    <xf numFmtId="4" fontId="56" fillId="0" borderId="0" xfId="15" applyNumberFormat="1" applyFont="1" applyFill="1" applyAlignment="1">
      <alignment vertical="top"/>
    </xf>
    <xf numFmtId="2" fontId="56" fillId="0" borderId="0" xfId="15" applyNumberFormat="1" applyFont="1" applyFill="1" applyAlignment="1">
      <alignment vertical="top"/>
    </xf>
    <xf numFmtId="0" fontId="56" fillId="0" borderId="0" xfId="15" applyFont="1" applyFill="1" applyAlignment="1">
      <alignment horizontal="left" vertical="top"/>
    </xf>
    <xf numFmtId="0" fontId="53" fillId="0" borderId="0" xfId="15" applyFont="1" applyAlignment="1">
      <alignment vertical="top"/>
    </xf>
    <xf numFmtId="0" fontId="53" fillId="0" borderId="0" xfId="15" applyFont="1" applyAlignment="1">
      <alignment vertical="top" wrapText="1"/>
    </xf>
    <xf numFmtId="49" fontId="53" fillId="0" borderId="0" xfId="15" applyNumberFormat="1" applyFont="1" applyAlignment="1">
      <alignment vertical="top" wrapText="1"/>
    </xf>
    <xf numFmtId="0" fontId="49" fillId="0" borderId="0" xfId="15" applyFont="1" applyAlignment="1">
      <alignment vertical="top"/>
    </xf>
    <xf numFmtId="0" fontId="49" fillId="0" borderId="0" xfId="15" applyFont="1" applyAlignment="1">
      <alignment vertical="top" wrapText="1"/>
    </xf>
    <xf numFmtId="49" fontId="49" fillId="0" borderId="0" xfId="15" applyNumberFormat="1" applyFont="1" applyAlignment="1">
      <alignment vertical="top" wrapText="1"/>
    </xf>
    <xf numFmtId="49" fontId="49" fillId="0" borderId="0" xfId="15" applyNumberFormat="1" applyFont="1" applyAlignment="1">
      <alignment horizontal="left" vertical="top" wrapText="1"/>
    </xf>
    <xf numFmtId="4" fontId="52" fillId="0" borderId="8" xfId="15" applyNumberFormat="1" applyFont="1" applyBorder="1"/>
    <xf numFmtId="2" fontId="49" fillId="0" borderId="8" xfId="15" applyNumberFormat="1" applyFont="1" applyBorder="1"/>
    <xf numFmtId="44" fontId="49" fillId="0" borderId="0" xfId="15" applyNumberFormat="1" applyFont="1" applyAlignment="1">
      <alignment vertical="top"/>
    </xf>
    <xf numFmtId="4" fontId="49" fillId="0" borderId="0" xfId="15" applyNumberFormat="1" applyFont="1" applyAlignment="1">
      <alignment vertical="top"/>
    </xf>
    <xf numFmtId="1" fontId="49" fillId="4" borderId="0" xfId="15" applyNumberFormat="1" applyFont="1" applyFill="1" applyAlignment="1">
      <alignment vertical="top"/>
    </xf>
    <xf numFmtId="4" fontId="49" fillId="0" borderId="0" xfId="15" applyNumberFormat="1" applyFont="1" applyAlignment="1">
      <alignment horizontal="right"/>
    </xf>
    <xf numFmtId="4" fontId="58" fillId="0" borderId="9" xfId="15" applyNumberFormat="1" applyFont="1" applyBorder="1" applyAlignment="1">
      <alignment horizontal="right"/>
    </xf>
    <xf numFmtId="4" fontId="49" fillId="0" borderId="9" xfId="15" applyNumberFormat="1" applyFont="1" applyBorder="1" applyAlignment="1">
      <alignment horizontal="right"/>
    </xf>
    <xf numFmtId="0" fontId="59" fillId="0" borderId="0" xfId="15" applyFont="1" applyAlignment="1">
      <alignment vertical="top"/>
    </xf>
    <xf numFmtId="4" fontId="33" fillId="0" borderId="0" xfId="15" applyNumberFormat="1" applyFont="1" applyAlignment="1">
      <alignment vertical="top"/>
    </xf>
    <xf numFmtId="0" fontId="60" fillId="0" borderId="0" xfId="15" applyFont="1"/>
    <xf numFmtId="0" fontId="61" fillId="0" borderId="0" xfId="15" applyFont="1"/>
    <xf numFmtId="4" fontId="58" fillId="5" borderId="10" xfId="15" applyNumberFormat="1" applyFont="1" applyFill="1" applyBorder="1" applyAlignment="1">
      <alignment horizontal="center" vertical="top"/>
    </xf>
    <xf numFmtId="2" fontId="58" fillId="5" borderId="10" xfId="15" applyNumberFormat="1" applyFont="1" applyFill="1" applyBorder="1" applyAlignment="1">
      <alignment horizontal="center" vertical="top"/>
    </xf>
    <xf numFmtId="4" fontId="63" fillId="0" borderId="0" xfId="15" applyNumberFormat="1" applyFont="1" applyAlignment="1">
      <alignment vertical="top"/>
    </xf>
    <xf numFmtId="2" fontId="63" fillId="0" borderId="0" xfId="15" applyNumberFormat="1" applyFont="1" applyAlignment="1">
      <alignment vertical="top"/>
    </xf>
    <xf numFmtId="2" fontId="49" fillId="0" borderId="0" xfId="15" applyNumberFormat="1" applyFont="1" applyAlignment="1">
      <alignment horizontal="right"/>
    </xf>
    <xf numFmtId="4" fontId="49" fillId="0" borderId="0" xfId="15" applyNumberFormat="1" applyFont="1" applyAlignment="1">
      <alignment horizontal="right" vertical="top"/>
    </xf>
    <xf numFmtId="0" fontId="33" fillId="0" borderId="0" xfId="15" applyFont="1" applyAlignment="1">
      <alignment vertical="top"/>
    </xf>
    <xf numFmtId="0" fontId="65" fillId="0" borderId="0" xfId="15" applyFont="1" applyAlignment="1">
      <alignment vertical="top"/>
    </xf>
    <xf numFmtId="0" fontId="65" fillId="0" borderId="0" xfId="15" applyFont="1"/>
    <xf numFmtId="1" fontId="66" fillId="0" borderId="0" xfId="15" applyNumberFormat="1" applyFont="1" applyAlignment="1">
      <alignment horizontal="center"/>
    </xf>
    <xf numFmtId="4" fontId="48" fillId="0" borderId="0" xfId="15" applyNumberFormat="1" applyFont="1" applyAlignment="1">
      <alignment horizontal="right"/>
    </xf>
    <xf numFmtId="4" fontId="33" fillId="0" borderId="0" xfId="15" applyNumberFormat="1" applyFont="1" applyAlignment="1">
      <alignment horizontal="right" vertical="top"/>
    </xf>
    <xf numFmtId="174" fontId="67" fillId="0" borderId="0" xfId="15" applyNumberFormat="1" applyFont="1" applyAlignment="1">
      <alignment horizontal="right" vertical="top"/>
    </xf>
    <xf numFmtId="4" fontId="54" fillId="0" borderId="0" xfId="15" applyNumberFormat="1" applyFont="1" applyAlignment="1">
      <alignment vertical="top"/>
    </xf>
    <xf numFmtId="2" fontId="54" fillId="0" borderId="0" xfId="15" applyNumberFormat="1" applyFont="1" applyAlignment="1">
      <alignment vertical="top"/>
    </xf>
    <xf numFmtId="170" fontId="28" fillId="0" borderId="12" xfId="7" applyNumberFormat="1" applyFont="1" applyBorder="1" applyAlignment="1">
      <alignment vertical="center"/>
    </xf>
    <xf numFmtId="0" fontId="28" fillId="0" borderId="12" xfId="7" applyFont="1" applyBorder="1" applyAlignment="1">
      <alignment horizontal="left" vertical="center"/>
    </xf>
    <xf numFmtId="0" fontId="25" fillId="0" borderId="12" xfId="7" applyFont="1" applyBorder="1"/>
    <xf numFmtId="170" fontId="25" fillId="0" borderId="13" xfId="7" applyNumberFormat="1" applyFont="1" applyBorder="1" applyAlignment="1">
      <alignment vertical="center"/>
    </xf>
    <xf numFmtId="0" fontId="25" fillId="0" borderId="13" xfId="7" applyFont="1" applyBorder="1" applyAlignment="1">
      <alignment horizontal="left" vertical="center"/>
    </xf>
    <xf numFmtId="0" fontId="25" fillId="0" borderId="13" xfId="7" applyFont="1" applyBorder="1"/>
    <xf numFmtId="170" fontId="29" fillId="0" borderId="0" xfId="7" applyNumberFormat="1" applyFont="1" applyBorder="1"/>
    <xf numFmtId="168" fontId="36" fillId="0" borderId="14" xfId="6" applyNumberFormat="1" applyFont="1" applyBorder="1" applyAlignment="1">
      <alignment horizontal="right" vertical="center" wrapText="1"/>
    </xf>
    <xf numFmtId="0" fontId="36" fillId="0" borderId="14" xfId="6" applyFont="1" applyBorder="1" applyAlignment="1">
      <alignment horizontal="left" vertical="center" wrapText="1"/>
    </xf>
    <xf numFmtId="49" fontId="29" fillId="0" borderId="14" xfId="6" applyNumberFormat="1" applyFont="1" applyBorder="1"/>
    <xf numFmtId="49" fontId="29" fillId="0" borderId="0" xfId="6" applyNumberFormat="1" applyFont="1" applyBorder="1" applyAlignment="1">
      <alignment horizontal="center" vertical="center"/>
    </xf>
    <xf numFmtId="170" fontId="29" fillId="0" borderId="0" xfId="6" applyNumberFormat="1" applyFont="1" applyBorder="1" applyAlignment="1">
      <alignment vertical="center"/>
    </xf>
    <xf numFmtId="0" fontId="29" fillId="0" borderId="0" xfId="6" applyFont="1" applyBorder="1" applyAlignment="1">
      <alignment horizontal="left" vertical="center" wrapText="1"/>
    </xf>
    <xf numFmtId="0" fontId="29" fillId="0" borderId="14" xfId="7" applyFont="1" applyBorder="1"/>
    <xf numFmtId="49" fontId="36" fillId="0" borderId="14" xfId="6" applyNumberFormat="1" applyFont="1" applyBorder="1" applyAlignment="1">
      <alignment horizontal="center" vertical="center"/>
    </xf>
    <xf numFmtId="0" fontId="36" fillId="0" borderId="13" xfId="7" applyFont="1" applyBorder="1" applyAlignment="1">
      <alignment horizontal="right" vertical="center"/>
    </xf>
    <xf numFmtId="39" fontId="36" fillId="0" borderId="13" xfId="7" applyNumberFormat="1" applyFont="1" applyBorder="1" applyAlignment="1">
      <alignment horizontal="left" vertical="center" wrapText="1"/>
    </xf>
    <xf numFmtId="49" fontId="36" fillId="0" borderId="13" xfId="7" applyNumberFormat="1" applyFont="1" applyBorder="1" applyAlignment="1">
      <alignment horizontal="center" vertical="center"/>
    </xf>
    <xf numFmtId="0" fontId="25" fillId="0" borderId="0" xfId="6" applyFont="1" applyBorder="1" applyAlignment="1">
      <alignment horizontal="left" vertical="top" wrapText="1"/>
    </xf>
    <xf numFmtId="49" fontId="25" fillId="0" borderId="0" xfId="6" applyNumberFormat="1" applyFont="1" applyBorder="1" applyAlignment="1">
      <alignment horizontal="left"/>
    </xf>
    <xf numFmtId="49" fontId="24" fillId="0" borderId="0" xfId="7" applyNumberFormat="1" applyFont="1" applyBorder="1" applyAlignment="1">
      <alignment horizontal="left"/>
    </xf>
    <xf numFmtId="4" fontId="25" fillId="0" borderId="0" xfId="6" applyNumberFormat="1" applyFont="1" applyBorder="1" applyAlignment="1">
      <alignment horizontal="left" vertical="top" wrapText="1"/>
    </xf>
    <xf numFmtId="49" fontId="25" fillId="0" borderId="0" xfId="7" applyNumberFormat="1" applyFont="1" applyBorder="1" applyAlignment="1">
      <alignment horizontal="left"/>
    </xf>
    <xf numFmtId="49" fontId="25" fillId="0" borderId="0" xfId="7" applyNumberFormat="1" applyFont="1" applyBorder="1" applyAlignment="1">
      <alignment horizontal="left" wrapText="1"/>
    </xf>
    <xf numFmtId="16" fontId="24" fillId="0" borderId="0" xfId="7" applyNumberFormat="1" applyFont="1" applyBorder="1" applyAlignment="1">
      <alignment horizontal="left"/>
    </xf>
    <xf numFmtId="0" fontId="38" fillId="0" borderId="0" xfId="6" applyFont="1" applyBorder="1" applyAlignment="1">
      <alignment horizontal="center" vertical="center"/>
    </xf>
    <xf numFmtId="0" fontId="29" fillId="0" borderId="0" xfId="7" applyFont="1" applyBorder="1" applyAlignment="1">
      <alignment horizontal="center" vertical="center"/>
    </xf>
    <xf numFmtId="4" fontId="29" fillId="0" borderId="0" xfId="7" applyNumberFormat="1" applyFont="1" applyBorder="1" applyAlignment="1">
      <alignment horizontal="center" vertical="center"/>
    </xf>
    <xf numFmtId="0" fontId="36" fillId="0" borderId="0" xfId="7" applyFont="1" applyBorder="1" applyAlignment="1">
      <alignment horizontal="center" vertical="center"/>
    </xf>
    <xf numFmtId="49" fontId="39" fillId="0" borderId="0" xfId="7" applyNumberFormat="1" applyFont="1" applyBorder="1" applyAlignment="1">
      <alignment horizontal="left" vertical="top"/>
    </xf>
    <xf numFmtId="0" fontId="68" fillId="0" borderId="0" xfId="7" applyFont="1" applyBorder="1" applyAlignment="1">
      <alignment horizontal="left" vertical="top" wrapText="1"/>
    </xf>
    <xf numFmtId="0" fontId="24" fillId="0" borderId="0" xfId="7" applyFont="1" applyBorder="1" applyAlignment="1">
      <alignment horizontal="center" vertical="top" wrapText="1"/>
    </xf>
    <xf numFmtId="0" fontId="25" fillId="0" borderId="0" xfId="7" quotePrefix="1" applyNumberFormat="1" applyFont="1"/>
    <xf numFmtId="0" fontId="24" fillId="0" borderId="0" xfId="7" applyFont="1" applyBorder="1" applyAlignment="1">
      <alignment horizontal="left" vertical="center" wrapText="1"/>
    </xf>
    <xf numFmtId="0" fontId="29" fillId="0" borderId="0" xfId="7" applyFont="1" applyAlignment="1">
      <alignment horizontal="center"/>
    </xf>
    <xf numFmtId="4" fontId="69" fillId="0" borderId="0" xfId="7" applyNumberFormat="1" applyFont="1" applyBorder="1" applyAlignment="1">
      <alignment horizontal="center" vertical="center"/>
    </xf>
    <xf numFmtId="49" fontId="29" fillId="0" borderId="0" xfId="6" applyNumberFormat="1" applyFont="1" applyBorder="1" applyAlignment="1">
      <alignment horizontal="left"/>
    </xf>
    <xf numFmtId="0" fontId="25" fillId="0" borderId="0" xfId="7" applyFont="1" applyAlignment="1"/>
    <xf numFmtId="0" fontId="25" fillId="0" borderId="0" xfId="7" applyFont="1" applyBorder="1" applyAlignment="1">
      <alignment horizontal="left" vertical="center" wrapText="1"/>
    </xf>
    <xf numFmtId="4" fontId="29" fillId="0" borderId="0" xfId="6" applyNumberFormat="1" applyFont="1" applyBorder="1" applyAlignment="1">
      <alignment horizontal="center" vertical="center"/>
    </xf>
    <xf numFmtId="4" fontId="36" fillId="0" borderId="0" xfId="7" applyNumberFormat="1" applyFont="1" applyBorder="1" applyAlignment="1">
      <alignment horizontal="center" vertical="center"/>
    </xf>
    <xf numFmtId="2" fontId="36" fillId="0" borderId="16" xfId="7" applyNumberFormat="1" applyFont="1" applyBorder="1" applyAlignment="1">
      <alignment horizontal="center" vertical="center"/>
    </xf>
    <xf numFmtId="0" fontId="36" fillId="0" borderId="17" xfId="7" applyFont="1" applyBorder="1" applyAlignment="1">
      <alignment horizontal="center" vertical="center"/>
    </xf>
    <xf numFmtId="2" fontId="36" fillId="0" borderId="18" xfId="7" applyNumberFormat="1" applyFont="1" applyBorder="1" applyAlignment="1">
      <alignment horizontal="center" vertical="center"/>
    </xf>
    <xf numFmtId="0" fontId="36" fillId="0" borderId="19" xfId="7" applyFont="1" applyBorder="1" applyAlignment="1">
      <alignment horizontal="center" vertical="center"/>
    </xf>
    <xf numFmtId="2" fontId="36" fillId="0" borderId="0" xfId="7" applyNumberFormat="1" applyFont="1" applyBorder="1" applyAlignment="1">
      <alignment horizontal="center" vertical="center"/>
    </xf>
    <xf numFmtId="2" fontId="36" fillId="0" borderId="20" xfId="7" applyNumberFormat="1" applyFont="1" applyBorder="1" applyAlignment="1">
      <alignment horizontal="center" vertical="center"/>
    </xf>
    <xf numFmtId="0" fontId="36" fillId="0" borderId="21" xfId="7" applyFont="1" applyBorder="1" applyAlignment="1">
      <alignment horizontal="center" vertical="center"/>
    </xf>
    <xf numFmtId="0" fontId="29" fillId="0" borderId="0" xfId="6" applyFont="1" applyBorder="1" applyAlignment="1">
      <alignment horizontal="center" vertical="center"/>
    </xf>
    <xf numFmtId="49" fontId="36" fillId="0" borderId="0" xfId="6" applyNumberFormat="1" applyFont="1" applyBorder="1" applyAlignment="1">
      <alignment horizontal="left"/>
    </xf>
    <xf numFmtId="0" fontId="24" fillId="0" borderId="5" xfId="7" applyFont="1" applyBorder="1" applyAlignment="1">
      <alignment horizontal="center" vertical="center" wrapText="1"/>
    </xf>
    <xf numFmtId="39" fontId="24" fillId="0" borderId="5" xfId="7" applyNumberFormat="1" applyFont="1" applyBorder="1" applyAlignment="1">
      <alignment horizontal="center" vertical="center" wrapText="1"/>
    </xf>
    <xf numFmtId="49" fontId="24" fillId="0" borderId="5" xfId="7" applyNumberFormat="1" applyFont="1" applyBorder="1" applyAlignment="1">
      <alignment horizontal="center"/>
    </xf>
    <xf numFmtId="0" fontId="1" fillId="0" borderId="0" xfId="17"/>
    <xf numFmtId="0" fontId="1" fillId="0" borderId="0" xfId="17" applyBorder="1"/>
    <xf numFmtId="0" fontId="1" fillId="0" borderId="0" xfId="17" applyBorder="1" applyProtection="1">
      <protection locked="0"/>
    </xf>
    <xf numFmtId="4" fontId="75" fillId="0" borderId="0" xfId="17" applyNumberFormat="1" applyFont="1" applyFill="1" applyBorder="1" applyAlignment="1" applyProtection="1">
      <alignment horizontal="right"/>
      <protection locked="0"/>
    </xf>
    <xf numFmtId="4" fontId="75" fillId="0" borderId="0" xfId="17" applyNumberFormat="1" applyFont="1" applyFill="1" applyBorder="1"/>
    <xf numFmtId="4" fontId="75" fillId="0" borderId="0" xfId="17" applyNumberFormat="1" applyFont="1" applyFill="1" applyBorder="1" applyAlignment="1">
      <alignment horizontal="center"/>
    </xf>
    <xf numFmtId="4" fontId="74" fillId="0" borderId="0" xfId="17" applyNumberFormat="1" applyFont="1" applyFill="1" applyBorder="1" applyAlignment="1">
      <alignment vertical="top"/>
    </xf>
    <xf numFmtId="49" fontId="75" fillId="0" borderId="0" xfId="17" applyNumberFormat="1" applyFont="1" applyFill="1" applyBorder="1" applyAlignment="1">
      <alignment horizontal="left" vertical="top"/>
    </xf>
    <xf numFmtId="0" fontId="76" fillId="0" borderId="0" xfId="17" applyFont="1" applyBorder="1" applyAlignment="1">
      <alignment vertical="center" wrapText="1"/>
    </xf>
    <xf numFmtId="0" fontId="77" fillId="0" borderId="0" xfId="17" applyFont="1" applyBorder="1" applyAlignment="1">
      <alignment vertical="center" wrapText="1"/>
    </xf>
    <xf numFmtId="4" fontId="75" fillId="0" borderId="0" xfId="17" applyNumberFormat="1" applyFont="1" applyFill="1" applyBorder="1" applyAlignment="1">
      <alignment vertical="top" wrapText="1"/>
    </xf>
    <xf numFmtId="0" fontId="77" fillId="0" borderId="0" xfId="17" applyFont="1" applyBorder="1" applyAlignment="1">
      <alignment horizontal="justify" vertical="center" wrapText="1"/>
    </xf>
    <xf numFmtId="49" fontId="74" fillId="0" borderId="0" xfId="17" applyNumberFormat="1" applyFont="1" applyFill="1" applyBorder="1" applyAlignment="1">
      <alignment horizontal="left" vertical="top"/>
    </xf>
    <xf numFmtId="4" fontId="75" fillId="0" borderId="0" xfId="17" applyNumberFormat="1" applyFont="1" applyFill="1" applyBorder="1" applyAlignment="1"/>
    <xf numFmtId="4" fontId="75" fillId="0" borderId="0" xfId="17" applyNumberFormat="1" applyFont="1" applyFill="1" applyBorder="1" applyAlignment="1">
      <alignment vertical="top"/>
    </xf>
    <xf numFmtId="4" fontId="75" fillId="0" borderId="0" xfId="17" applyNumberFormat="1" applyFont="1" applyFill="1" applyBorder="1" applyProtection="1">
      <protection locked="0"/>
    </xf>
    <xf numFmtId="0" fontId="78" fillId="0" borderId="0" xfId="17" applyFont="1" applyBorder="1" applyAlignment="1">
      <alignment vertical="center" wrapText="1"/>
    </xf>
    <xf numFmtId="0" fontId="78" fillId="0" borderId="0" xfId="17" applyFont="1" applyBorder="1" applyAlignment="1">
      <alignment horizontal="center" vertical="center" wrapText="1"/>
    </xf>
    <xf numFmtId="0" fontId="77" fillId="0" borderId="0" xfId="17" applyFont="1" applyBorder="1"/>
    <xf numFmtId="0" fontId="79" fillId="0" borderId="0" xfId="17" applyFont="1" applyBorder="1"/>
    <xf numFmtId="49" fontId="29" fillId="0" borderId="0" xfId="0" applyNumberFormat="1" applyFont="1" applyBorder="1" applyAlignment="1">
      <alignment horizontal="center"/>
    </xf>
    <xf numFmtId="0" fontId="29" fillId="0" borderId="0" xfId="0" applyFont="1" applyBorder="1" applyAlignment="1">
      <alignment horizontal="left" vertical="top" wrapText="1"/>
    </xf>
    <xf numFmtId="0" fontId="25" fillId="0" borderId="0" xfId="0" applyFont="1"/>
    <xf numFmtId="0" fontId="25" fillId="0" borderId="13" xfId="0" applyFont="1" applyBorder="1"/>
    <xf numFmtId="0" fontId="25" fillId="0" borderId="13" xfId="0" applyFont="1" applyBorder="1" applyAlignment="1">
      <alignment horizontal="left" vertical="center"/>
    </xf>
    <xf numFmtId="0" fontId="25" fillId="0" borderId="12" xfId="0" applyFont="1" applyBorder="1"/>
    <xf numFmtId="49" fontId="25" fillId="0" borderId="0" xfId="0" applyNumberFormat="1" applyFont="1" applyBorder="1" applyAlignment="1">
      <alignment horizontal="left"/>
    </xf>
    <xf numFmtId="0" fontId="25" fillId="0" borderId="0" xfId="0" applyFont="1" applyBorder="1" applyAlignment="1">
      <alignment horizontal="left" vertical="top" wrapText="1"/>
    </xf>
    <xf numFmtId="4" fontId="25" fillId="0" borderId="0" xfId="0" applyNumberFormat="1" applyFont="1" applyBorder="1" applyAlignment="1">
      <alignment horizontal="center" vertical="center"/>
    </xf>
    <xf numFmtId="0" fontId="25" fillId="0" borderId="0" xfId="0" applyNumberFormat="1" applyFont="1" applyBorder="1" applyAlignment="1">
      <alignment horizontal="center" vertical="center"/>
    </xf>
    <xf numFmtId="49" fontId="24" fillId="0" borderId="0" xfId="0" applyNumberFormat="1" applyFont="1" applyBorder="1" applyAlignment="1">
      <alignment horizontal="left"/>
    </xf>
    <xf numFmtId="0" fontId="24" fillId="0" borderId="0" xfId="0" applyFont="1" applyBorder="1" applyAlignment="1">
      <alignment horizontal="left" vertical="top" wrapText="1"/>
    </xf>
    <xf numFmtId="0" fontId="24" fillId="0" borderId="0" xfId="0" applyFont="1" applyBorder="1" applyAlignment="1">
      <alignment horizontal="center" vertical="center" wrapText="1"/>
    </xf>
    <xf numFmtId="0" fontId="24" fillId="0" borderId="0" xfId="0" applyNumberFormat="1" applyFont="1" applyBorder="1" applyAlignment="1">
      <alignment horizontal="center" vertical="center" wrapText="1"/>
    </xf>
    <xf numFmtId="0" fontId="24" fillId="0" borderId="0" xfId="0" applyFont="1" applyBorder="1" applyAlignment="1">
      <alignment horizontal="center" vertical="center"/>
    </xf>
    <xf numFmtId="0" fontId="24" fillId="0" borderId="0" xfId="0" applyNumberFormat="1" applyFont="1" applyBorder="1" applyAlignment="1">
      <alignment horizontal="center" vertical="center"/>
    </xf>
    <xf numFmtId="0" fontId="25" fillId="0" borderId="0" xfId="0" applyFont="1" applyBorder="1" applyAlignment="1">
      <alignment horizontal="center" vertical="center"/>
    </xf>
    <xf numFmtId="49" fontId="25" fillId="0" borderId="0" xfId="0" applyNumberFormat="1" applyFont="1" applyBorder="1" applyAlignment="1">
      <alignment horizontal="left" wrapText="1"/>
    </xf>
    <xf numFmtId="0" fontId="24" fillId="0" borderId="0" xfId="0" applyFont="1" applyBorder="1" applyAlignment="1">
      <alignment horizontal="left" vertical="center" wrapText="1"/>
    </xf>
    <xf numFmtId="0" fontId="41" fillId="0" borderId="0" xfId="0" applyFont="1" applyBorder="1" applyAlignment="1">
      <alignment horizontal="center" vertical="center"/>
    </xf>
    <xf numFmtId="4" fontId="38" fillId="0" borderId="0" xfId="0" applyNumberFormat="1" applyFont="1" applyBorder="1" applyAlignment="1">
      <alignment horizontal="center" vertical="center"/>
    </xf>
    <xf numFmtId="49" fontId="24" fillId="0" borderId="0" xfId="0" applyNumberFormat="1" applyFont="1" applyBorder="1" applyAlignment="1">
      <alignment horizontal="left" vertical="top"/>
    </xf>
    <xf numFmtId="49" fontId="25" fillId="0" borderId="0" xfId="0" applyNumberFormat="1" applyFont="1" applyBorder="1" applyAlignment="1">
      <alignment horizontal="left" vertical="top" wrapText="1"/>
    </xf>
    <xf numFmtId="0" fontId="25" fillId="0" borderId="0" xfId="0" applyFont="1" applyBorder="1" applyAlignment="1">
      <alignment horizontal="left" vertical="center" wrapText="1"/>
    </xf>
    <xf numFmtId="0" fontId="41" fillId="0" borderId="0" xfId="0" applyFont="1" applyBorder="1" applyAlignment="1">
      <alignment horizontal="center" vertical="center" wrapText="1"/>
    </xf>
    <xf numFmtId="16" fontId="24" fillId="0" borderId="0" xfId="0" applyNumberFormat="1" applyFont="1" applyBorder="1" applyAlignment="1">
      <alignment horizontal="left"/>
    </xf>
    <xf numFmtId="49" fontId="24" fillId="0" borderId="0" xfId="0" applyNumberFormat="1" applyFont="1" applyBorder="1" applyAlignment="1">
      <alignment horizontal="center"/>
    </xf>
    <xf numFmtId="39" fontId="24" fillId="0" borderId="0" xfId="0" applyNumberFormat="1" applyFont="1" applyBorder="1" applyAlignment="1">
      <alignment horizontal="center" vertical="center" wrapText="1"/>
    </xf>
    <xf numFmtId="0" fontId="25" fillId="0" borderId="0" xfId="0" applyFont="1" applyBorder="1" applyAlignment="1"/>
    <xf numFmtId="0" fontId="25" fillId="0" borderId="0" xfId="0" applyFont="1" applyBorder="1"/>
    <xf numFmtId="49" fontId="24" fillId="0" borderId="0" xfId="6" applyNumberFormat="1" applyFont="1" applyBorder="1" applyAlignment="1">
      <alignment horizontal="left"/>
    </xf>
    <xf numFmtId="4" fontId="25" fillId="0" borderId="0" xfId="6" applyNumberFormat="1" applyFont="1" applyBorder="1" applyAlignment="1">
      <alignment horizontal="center" vertical="center"/>
    </xf>
    <xf numFmtId="0" fontId="25" fillId="0" borderId="0" xfId="0" applyFont="1" applyBorder="1" applyAlignment="1">
      <alignment horizontal="center"/>
    </xf>
    <xf numFmtId="49" fontId="24" fillId="0" borderId="13" xfId="0" applyNumberFormat="1" applyFont="1" applyBorder="1" applyAlignment="1">
      <alignment horizontal="center" vertical="center"/>
    </xf>
    <xf numFmtId="39" fontId="24" fillId="0" borderId="13" xfId="0" applyNumberFormat="1" applyFont="1" applyBorder="1" applyAlignment="1">
      <alignment horizontal="left" vertical="center" wrapText="1"/>
    </xf>
    <xf numFmtId="49" fontId="25" fillId="0" borderId="0" xfId="0" applyNumberFormat="1" applyFont="1" applyBorder="1" applyAlignment="1">
      <alignment horizontal="center"/>
    </xf>
    <xf numFmtId="49" fontId="24" fillId="0" borderId="14" xfId="6" applyNumberFormat="1" applyFont="1" applyBorder="1" applyAlignment="1">
      <alignment horizontal="center" vertical="center"/>
    </xf>
    <xf numFmtId="0" fontId="24" fillId="0" borderId="14" xfId="6" applyFont="1" applyBorder="1" applyAlignment="1">
      <alignment horizontal="left" vertical="center" wrapText="1"/>
    </xf>
    <xf numFmtId="49" fontId="25" fillId="0" borderId="22" xfId="6" applyNumberFormat="1" applyFont="1" applyBorder="1" applyAlignment="1">
      <alignment horizontal="center" vertical="center"/>
    </xf>
    <xf numFmtId="0" fontId="25" fillId="0" borderId="22" xfId="6" applyFont="1" applyBorder="1" applyAlignment="1">
      <alignment horizontal="left" vertical="center" wrapText="1"/>
    </xf>
    <xf numFmtId="49" fontId="25" fillId="0" borderId="14" xfId="6" applyNumberFormat="1" applyFont="1" applyBorder="1"/>
    <xf numFmtId="0" fontId="24" fillId="0" borderId="12" xfId="0" applyFont="1" applyBorder="1" applyAlignment="1">
      <alignment horizontal="left" vertical="center"/>
    </xf>
    <xf numFmtId="1" fontId="80" fillId="1" borderId="8" xfId="0" applyNumberFormat="1" applyFont="1" applyFill="1" applyBorder="1" applyAlignment="1">
      <alignment horizontal="center" vertical="top"/>
    </xf>
    <xf numFmtId="0" fontId="80" fillId="1" borderId="8" xfId="0" applyFont="1" applyFill="1" applyBorder="1" applyAlignment="1">
      <alignment horizontal="justify" vertical="top" wrapText="1"/>
    </xf>
    <xf numFmtId="3" fontId="81" fillId="1" borderId="8" xfId="0" applyNumberFormat="1" applyFont="1" applyFill="1" applyBorder="1" applyAlignment="1">
      <alignment horizontal="right" wrapText="1"/>
    </xf>
    <xf numFmtId="4" fontId="81" fillId="1" borderId="8" xfId="0" applyNumberFormat="1" applyFont="1" applyFill="1" applyBorder="1" applyAlignment="1">
      <alignment horizontal="right" wrapText="1"/>
    </xf>
    <xf numFmtId="49" fontId="82" fillId="1" borderId="23" xfId="0" applyNumberFormat="1" applyFont="1" applyFill="1" applyBorder="1" applyAlignment="1">
      <alignment horizontal="center" vertical="top"/>
    </xf>
    <xf numFmtId="49" fontId="82" fillId="0" borderId="23" xfId="0" applyNumberFormat="1" applyFont="1" applyBorder="1" applyAlignment="1">
      <alignment horizontal="left" vertical="top"/>
    </xf>
    <xf numFmtId="0" fontId="83" fillId="0" borderId="23" xfId="0" applyFont="1" applyBorder="1" applyAlignment="1">
      <alignment horizontal="right"/>
    </xf>
    <xf numFmtId="0" fontId="59" fillId="0" borderId="23" xfId="0" applyFont="1" applyBorder="1" applyAlignment="1" applyProtection="1">
      <alignment horizontal="right"/>
      <protection locked="0"/>
    </xf>
    <xf numFmtId="0" fontId="59" fillId="0" borderId="23" xfId="0" applyFont="1" applyBorder="1" applyAlignment="1">
      <alignment horizontal="right"/>
    </xf>
    <xf numFmtId="1" fontId="80" fillId="1" borderId="0" xfId="0" applyNumberFormat="1" applyFont="1" applyFill="1" applyBorder="1" applyAlignment="1">
      <alignment horizontal="center" vertical="top"/>
    </xf>
    <xf numFmtId="0" fontId="84" fillId="0" borderId="0" xfId="0" applyFont="1" applyAlignment="1">
      <alignment horizontal="justify" vertical="top"/>
    </xf>
    <xf numFmtId="0" fontId="83" fillId="0" borderId="0" xfId="0" applyFont="1" applyAlignment="1">
      <alignment horizontal="right"/>
    </xf>
    <xf numFmtId="0" fontId="59" fillId="0" borderId="0" xfId="0" applyFont="1" applyAlignment="1" applyProtection="1">
      <alignment horizontal="right"/>
      <protection locked="0"/>
    </xf>
    <xf numFmtId="0" fontId="59" fillId="0" borderId="0" xfId="0" applyFont="1" applyAlignment="1">
      <alignment horizontal="right"/>
    </xf>
    <xf numFmtId="0" fontId="85" fillId="1" borderId="0" xfId="0" applyFont="1" applyFill="1" applyAlignment="1">
      <alignment horizontal="center" vertical="top" wrapText="1"/>
    </xf>
    <xf numFmtId="0" fontId="86" fillId="0" borderId="0" xfId="0" applyFont="1" applyAlignment="1">
      <alignment horizontal="justify" vertical="top"/>
    </xf>
    <xf numFmtId="0" fontId="85" fillId="1" borderId="0" xfId="0" applyFont="1" applyFill="1" applyAlignment="1">
      <alignment horizontal="center" vertical="top"/>
    </xf>
    <xf numFmtId="0" fontId="87" fillId="0" borderId="0" xfId="0" applyFont="1" applyAlignment="1">
      <alignment horizontal="justify" vertical="top" wrapText="1"/>
    </xf>
    <xf numFmtId="0" fontId="87" fillId="0" borderId="0" xfId="0" applyFont="1" applyBorder="1" applyAlignment="1">
      <alignment horizontal="right"/>
    </xf>
    <xf numFmtId="3" fontId="87" fillId="0" borderId="0" xfId="0" applyNumberFormat="1" applyFont="1" applyBorder="1" applyAlignment="1">
      <alignment horizontal="right"/>
    </xf>
    <xf numFmtId="4" fontId="88" fillId="0" borderId="0" xfId="0" applyNumberFormat="1" applyFont="1" applyAlignment="1" applyProtection="1">
      <alignment horizontal="right"/>
      <protection locked="0"/>
    </xf>
    <xf numFmtId="4" fontId="88" fillId="0" borderId="0" xfId="0" applyNumberFormat="1" applyFont="1" applyAlignment="1">
      <alignment horizontal="right"/>
    </xf>
    <xf numFmtId="49" fontId="89" fillId="1" borderId="0" xfId="19" applyNumberFormat="1" applyFont="1" applyFill="1" applyBorder="1" applyAlignment="1">
      <alignment horizontal="center" vertical="top"/>
    </xf>
    <xf numFmtId="0" fontId="90" fillId="0" borderId="0" xfId="0" applyNumberFormat="1" applyFont="1" applyAlignment="1">
      <alignment horizontal="justify" vertical="top" wrapText="1"/>
    </xf>
    <xf numFmtId="0" fontId="88" fillId="0" borderId="0" xfId="0" applyFont="1" applyAlignment="1">
      <alignment horizontal="right"/>
    </xf>
    <xf numFmtId="0" fontId="87" fillId="0" borderId="0" xfId="0" applyFont="1" applyAlignment="1">
      <alignment horizontal="justify" vertical="top"/>
    </xf>
    <xf numFmtId="0" fontId="87" fillId="0" borderId="0" xfId="0" applyFont="1" applyAlignment="1">
      <alignment vertical="top"/>
    </xf>
    <xf numFmtId="0" fontId="91" fillId="0" borderId="0" xfId="0" applyFont="1" applyBorder="1" applyAlignment="1">
      <alignment horizontal="right"/>
    </xf>
    <xf numFmtId="0" fontId="87" fillId="0" borderId="0" xfId="20" applyFont="1" applyFill="1" applyAlignment="1">
      <alignment horizontal="justify" vertical="top" wrapText="1"/>
    </xf>
    <xf numFmtId="0" fontId="86" fillId="1" borderId="0" xfId="20" applyFont="1" applyFill="1" applyAlignment="1">
      <alignment horizontal="center" vertical="top" wrapText="1"/>
    </xf>
    <xf numFmtId="0" fontId="48" fillId="0" borderId="0" xfId="20" applyFont="1" applyAlignment="1">
      <alignment horizontal="right" wrapText="1"/>
    </xf>
    <xf numFmtId="0" fontId="48" fillId="0" borderId="0" xfId="20" applyFont="1" applyAlignment="1" applyProtection="1">
      <alignment horizontal="right" wrapText="1"/>
      <protection locked="0"/>
    </xf>
    <xf numFmtId="0" fontId="83" fillId="0" borderId="0" xfId="0" applyFont="1" applyAlignment="1">
      <alignment horizontal="justify" vertical="top"/>
    </xf>
    <xf numFmtId="4" fontId="92" fillId="0" borderId="0" xfId="0" applyNumberFormat="1" applyFont="1" applyAlignment="1" applyProtection="1">
      <alignment horizontal="right"/>
      <protection locked="0"/>
    </xf>
    <xf numFmtId="4" fontId="92" fillId="0" borderId="0" xfId="0" applyNumberFormat="1" applyFont="1" applyAlignment="1">
      <alignment horizontal="right"/>
    </xf>
    <xf numFmtId="0" fontId="55" fillId="1" borderId="24" xfId="0" applyFont="1" applyFill="1" applyBorder="1" applyAlignment="1">
      <alignment horizontal="center" vertical="top"/>
    </xf>
    <xf numFmtId="49" fontId="93" fillId="0" borderId="24" xfId="0" applyNumberFormat="1" applyFont="1" applyBorder="1" applyAlignment="1">
      <alignment horizontal="justify" wrapText="1"/>
    </xf>
    <xf numFmtId="4" fontId="21" fillId="0" borderId="24" xfId="0" applyNumberFormat="1" applyFont="1" applyBorder="1" applyAlignment="1">
      <alignment horizontal="right"/>
    </xf>
    <xf numFmtId="4" fontId="21" fillId="0" borderId="24" xfId="0" applyNumberFormat="1" applyFont="1" applyBorder="1" applyAlignment="1" applyProtection="1">
      <alignment horizontal="right"/>
      <protection locked="0"/>
    </xf>
    <xf numFmtId="4" fontId="59" fillId="0" borderId="24" xfId="0" applyNumberFormat="1" applyFont="1" applyBorder="1" applyAlignment="1">
      <alignment horizontal="right"/>
    </xf>
    <xf numFmtId="0" fontId="55" fillId="1" borderId="0" xfId="0" applyFont="1" applyFill="1" applyAlignment="1">
      <alignment horizontal="center" vertical="top"/>
    </xf>
    <xf numFmtId="49" fontId="93" fillId="0" borderId="0" xfId="0" applyNumberFormat="1" applyFont="1" applyAlignment="1">
      <alignment horizontal="justify" wrapText="1"/>
    </xf>
    <xf numFmtId="4" fontId="21" fillId="0" borderId="0" xfId="0" applyNumberFormat="1" applyFont="1" applyAlignment="1">
      <alignment horizontal="right"/>
    </xf>
    <xf numFmtId="4" fontId="21" fillId="0" borderId="0" xfId="0" applyNumberFormat="1" applyFont="1" applyAlignment="1" applyProtection="1">
      <alignment horizontal="right"/>
      <protection locked="0"/>
    </xf>
    <xf numFmtId="4" fontId="87" fillId="0" borderId="0" xfId="0" applyNumberFormat="1" applyFont="1" applyAlignment="1">
      <alignment horizontal="right"/>
    </xf>
    <xf numFmtId="49" fontId="57" fillId="0" borderId="0" xfId="0" applyNumberFormat="1" applyFont="1" applyAlignment="1">
      <alignment horizontal="justify" wrapText="1"/>
    </xf>
    <xf numFmtId="49" fontId="92" fillId="0" borderId="0" xfId="0" applyNumberFormat="1" applyFont="1" applyBorder="1" applyAlignment="1">
      <alignment horizontal="justify" vertical="top" wrapText="1"/>
    </xf>
    <xf numFmtId="0" fontId="57" fillId="1" borderId="25" xfId="0" applyFont="1" applyFill="1" applyBorder="1" applyAlignment="1">
      <alignment horizontal="center" vertical="center"/>
    </xf>
    <xf numFmtId="0" fontId="57" fillId="1" borderId="25" xfId="0" applyFont="1" applyFill="1" applyBorder="1" applyAlignment="1">
      <alignment horizontal="right" vertical="center"/>
    </xf>
    <xf numFmtId="0" fontId="57" fillId="1" borderId="25" xfId="0" applyFont="1" applyFill="1" applyBorder="1" applyAlignment="1">
      <alignment horizontal="right"/>
    </xf>
    <xf numFmtId="0" fontId="94" fillId="1" borderId="0" xfId="0" applyFont="1" applyFill="1" applyAlignment="1">
      <alignment horizontal="center" vertical="top"/>
    </xf>
    <xf numFmtId="0" fontId="94" fillId="0" borderId="0" xfId="0" applyFont="1" applyAlignment="1">
      <alignment horizontal="left" vertical="top"/>
    </xf>
    <xf numFmtId="0" fontId="95" fillId="0" borderId="0" xfId="0" applyFont="1" applyAlignment="1">
      <alignment horizontal="right" vertical="top"/>
    </xf>
    <xf numFmtId="0" fontId="95" fillId="0" borderId="0" xfId="0" applyFont="1" applyFill="1" applyAlignment="1">
      <alignment horizontal="right" vertical="top"/>
    </xf>
    <xf numFmtId="0" fontId="95" fillId="0" borderId="0" xfId="0" applyFont="1" applyAlignment="1" applyProtection="1">
      <alignment horizontal="right"/>
      <protection locked="0"/>
    </xf>
    <xf numFmtId="0" fontId="95" fillId="0" borderId="0" xfId="0" applyFont="1" applyAlignment="1">
      <alignment horizontal="right"/>
    </xf>
    <xf numFmtId="0" fontId="86" fillId="1" borderId="0" xfId="0" applyFont="1" applyFill="1" applyAlignment="1">
      <alignment horizontal="center" vertical="top"/>
    </xf>
    <xf numFmtId="0" fontId="87" fillId="0" borderId="0" xfId="0" applyFont="1" applyAlignment="1">
      <alignment horizontal="right" vertical="top"/>
    </xf>
    <xf numFmtId="0" fontId="87" fillId="0" borderId="0" xfId="0" applyFont="1" applyFill="1" applyAlignment="1">
      <alignment horizontal="right" vertical="top"/>
    </xf>
    <xf numFmtId="0" fontId="87" fillId="0" borderId="0" xfId="0" applyFont="1" applyAlignment="1" applyProtection="1">
      <alignment horizontal="right"/>
      <protection locked="0"/>
    </xf>
    <xf numFmtId="0" fontId="87" fillId="0" borderId="0" xfId="0" applyFont="1" applyAlignment="1">
      <alignment horizontal="right"/>
    </xf>
    <xf numFmtId="0" fontId="57" fillId="0" borderId="0" xfId="0" applyNumberFormat="1" applyFont="1" applyAlignment="1">
      <alignment horizontal="justify" vertical="center" wrapText="1"/>
    </xf>
    <xf numFmtId="4" fontId="87" fillId="0" borderId="0" xfId="0" applyNumberFormat="1" applyFont="1" applyAlignment="1" applyProtection="1">
      <alignment horizontal="right"/>
      <protection locked="0"/>
    </xf>
    <xf numFmtId="0" fontId="96" fillId="0" borderId="0" xfId="0" applyFont="1" applyAlignment="1">
      <alignment horizontal="justify" vertical="top"/>
    </xf>
    <xf numFmtId="0" fontId="88" fillId="0" borderId="0" xfId="0" applyFont="1" applyAlignment="1">
      <alignment horizontal="justify" vertical="top"/>
    </xf>
    <xf numFmtId="0" fontId="86" fillId="0" borderId="0" xfId="0" applyFont="1" applyAlignment="1">
      <alignment horizontal="justify" vertical="top" wrapText="1"/>
    </xf>
    <xf numFmtId="0" fontId="87" fillId="0" borderId="0" xfId="0" applyFont="1" applyFill="1" applyAlignment="1">
      <alignment horizontal="right"/>
    </xf>
    <xf numFmtId="0" fontId="88" fillId="0" borderId="0" xfId="0" applyFont="1" applyAlignment="1">
      <alignment horizontal="justify" vertical="top" wrapText="1"/>
    </xf>
    <xf numFmtId="1" fontId="88" fillId="0" borderId="0" xfId="0" applyNumberFormat="1" applyFont="1" applyAlignment="1">
      <alignment horizontal="right"/>
    </xf>
    <xf numFmtId="0" fontId="87" fillId="0" borderId="0" xfId="21" applyFont="1" applyAlignment="1">
      <alignment horizontal="justify" vertical="top" wrapText="1"/>
    </xf>
    <xf numFmtId="0" fontId="88" fillId="0" borderId="0" xfId="22" applyFont="1" applyAlignment="1">
      <alignment horizontal="right"/>
    </xf>
    <xf numFmtId="3" fontId="87" fillId="0" borderId="0" xfId="0" applyNumberFormat="1" applyFont="1" applyAlignment="1">
      <alignment horizontal="right"/>
    </xf>
    <xf numFmtId="0" fontId="87" fillId="0" borderId="0" xfId="21" applyFont="1" applyAlignment="1">
      <alignment horizontal="justify" vertical="top"/>
    </xf>
    <xf numFmtId="0" fontId="86" fillId="0" borderId="0" xfId="0" applyFont="1" applyAlignment="1">
      <alignment wrapText="1"/>
    </xf>
    <xf numFmtId="0" fontId="87" fillId="0" borderId="0" xfId="0" applyFont="1" applyAlignment="1">
      <alignment wrapText="1"/>
    </xf>
    <xf numFmtId="0" fontId="57" fillId="0" borderId="0" xfId="0" applyFont="1" applyAlignment="1">
      <alignment horizontal="justify" vertical="top"/>
    </xf>
    <xf numFmtId="0" fontId="83" fillId="0" borderId="0" xfId="0" applyFont="1" applyAlignment="1">
      <alignment horizontal="right" vertical="top"/>
    </xf>
    <xf numFmtId="0" fontId="83" fillId="0" borderId="0" xfId="0" applyFont="1" applyFill="1" applyAlignment="1">
      <alignment horizontal="right" vertical="top"/>
    </xf>
    <xf numFmtId="0" fontId="98" fillId="0" borderId="0" xfId="0" applyFont="1" applyAlignment="1" applyProtection="1">
      <alignment horizontal="left" vertical="top" wrapText="1"/>
      <protection locked="0"/>
    </xf>
    <xf numFmtId="0" fontId="83" fillId="0" borderId="0" xfId="0" applyFont="1" applyAlignment="1">
      <alignment horizontal="justify" vertical="top" wrapText="1"/>
    </xf>
    <xf numFmtId="0" fontId="83" fillId="0" borderId="0" xfId="21" applyFont="1" applyAlignment="1">
      <alignment horizontal="justify" vertical="top"/>
    </xf>
    <xf numFmtId="0" fontId="87" fillId="0" borderId="0" xfId="23" applyFont="1" applyAlignment="1">
      <alignment horizontal="justify" vertical="top" wrapText="1"/>
    </xf>
    <xf numFmtId="0" fontId="86" fillId="0" borderId="0" xfId="0" applyNumberFormat="1" applyFont="1" applyAlignment="1">
      <alignment horizontal="justify" vertical="top" wrapText="1"/>
    </xf>
    <xf numFmtId="1" fontId="90" fillId="1" borderId="0" xfId="0" applyNumberFormat="1" applyFont="1" applyFill="1" applyAlignment="1">
      <alignment horizontal="center" vertical="top"/>
    </xf>
    <xf numFmtId="0" fontId="83" fillId="0" borderId="0" xfId="0" applyFont="1" applyAlignment="1">
      <alignment horizontal="center" vertical="center"/>
    </xf>
    <xf numFmtId="4" fontId="59" fillId="0" borderId="0" xfId="0" applyNumberFormat="1" applyFont="1" applyProtection="1">
      <protection locked="0"/>
    </xf>
    <xf numFmtId="4" fontId="59" fillId="0" borderId="0" xfId="0" applyNumberFormat="1" applyFont="1"/>
    <xf numFmtId="0" fontId="88" fillId="0" borderId="0" xfId="0" applyFont="1" applyAlignment="1">
      <alignment horizontal="right" vertical="top"/>
    </xf>
    <xf numFmtId="0" fontId="83" fillId="0" borderId="0" xfId="0" quotePrefix="1" applyFont="1" applyFill="1" applyAlignment="1">
      <alignment horizontal="justify" vertical="top"/>
    </xf>
    <xf numFmtId="1" fontId="83" fillId="0" borderId="0" xfId="0" applyNumberFormat="1" applyFont="1" applyFill="1" applyAlignment="1">
      <alignment horizontal="right" vertical="top"/>
    </xf>
    <xf numFmtId="4" fontId="98" fillId="0" borderId="0" xfId="0" applyNumberFormat="1" applyFont="1" applyAlignment="1" applyProtection="1">
      <alignment horizontal="right"/>
      <protection locked="0"/>
    </xf>
    <xf numFmtId="1" fontId="86" fillId="1" borderId="0" xfId="0" applyNumberFormat="1" applyFont="1" applyFill="1" applyAlignment="1">
      <alignment horizontal="center" vertical="top"/>
    </xf>
    <xf numFmtId="4" fontId="59" fillId="0" borderId="0" xfId="0" applyNumberFormat="1" applyFont="1" applyAlignment="1" applyProtection="1">
      <alignment horizontal="right"/>
      <protection locked="0"/>
    </xf>
    <xf numFmtId="4" fontId="59" fillId="0" borderId="0" xfId="0" applyNumberFormat="1" applyFont="1" applyAlignment="1">
      <alignment horizontal="right"/>
    </xf>
    <xf numFmtId="0" fontId="87" fillId="0" borderId="0" xfId="0" applyFont="1" applyFill="1" applyAlignment="1">
      <alignment horizontal="justify" vertical="top"/>
    </xf>
    <xf numFmtId="0" fontId="59" fillId="0" borderId="0" xfId="0" applyFont="1" applyFill="1" applyAlignment="1">
      <alignment horizontal="right"/>
    </xf>
    <xf numFmtId="1" fontId="87" fillId="0" borderId="0" xfId="0" applyNumberFormat="1" applyFont="1" applyFill="1" applyAlignment="1">
      <alignment horizontal="right"/>
    </xf>
    <xf numFmtId="0" fontId="88" fillId="0" borderId="0" xfId="0" applyFont="1" applyFill="1" applyBorder="1" applyAlignment="1">
      <alignment horizontal="right"/>
    </xf>
    <xf numFmtId="0" fontId="100" fillId="0" borderId="0" xfId="0" applyFont="1" applyFill="1" applyAlignment="1">
      <alignment horizontal="justify" vertical="top"/>
    </xf>
    <xf numFmtId="0" fontId="88" fillId="0" borderId="0" xfId="24" applyFont="1" applyFill="1" applyAlignment="1">
      <alignment horizontal="justify" vertical="top"/>
    </xf>
    <xf numFmtId="4" fontId="59" fillId="0" borderId="0" xfId="0" applyNumberFormat="1" applyFont="1" applyBorder="1" applyAlignment="1" applyProtection="1">
      <alignment horizontal="right"/>
      <protection locked="0"/>
    </xf>
    <xf numFmtId="4" fontId="59" fillId="0" borderId="0" xfId="0" applyNumberFormat="1" applyFont="1" applyBorder="1" applyAlignment="1">
      <alignment horizontal="right"/>
    </xf>
    <xf numFmtId="49" fontId="92" fillId="0" borderId="11" xfId="0" applyNumberFormat="1" applyFont="1" applyBorder="1" applyAlignment="1">
      <alignment horizontal="justify" vertical="top" wrapText="1"/>
    </xf>
    <xf numFmtId="0" fontId="88" fillId="0" borderId="11" xfId="0" applyFont="1" applyBorder="1" applyAlignment="1">
      <alignment horizontal="right"/>
    </xf>
    <xf numFmtId="1" fontId="83" fillId="0" borderId="11" xfId="0" applyNumberFormat="1" applyFont="1" applyFill="1" applyBorder="1" applyAlignment="1">
      <alignment horizontal="right" vertical="top"/>
    </xf>
    <xf numFmtId="4" fontId="59" fillId="0" borderId="11" xfId="0" applyNumberFormat="1" applyFont="1" applyBorder="1" applyAlignment="1" applyProtection="1">
      <alignment horizontal="right"/>
      <protection locked="0"/>
    </xf>
    <xf numFmtId="4" fontId="59" fillId="0" borderId="11" xfId="0" applyNumberFormat="1" applyFont="1" applyBorder="1" applyAlignment="1">
      <alignment horizontal="right"/>
    </xf>
    <xf numFmtId="1" fontId="80" fillId="1" borderId="0" xfId="0" applyNumberFormat="1" applyFont="1" applyFill="1" applyAlignment="1">
      <alignment horizontal="center" vertical="top"/>
    </xf>
    <xf numFmtId="0" fontId="92" fillId="0" borderId="0" xfId="0" applyFont="1" applyAlignment="1">
      <alignment horizontal="justify" vertical="top" wrapText="1"/>
    </xf>
    <xf numFmtId="0" fontId="92" fillId="0" borderId="0" xfId="0" applyFont="1" applyAlignment="1">
      <alignment horizontal="center" vertical="center"/>
    </xf>
    <xf numFmtId="4" fontId="92" fillId="0" borderId="0" xfId="0" applyNumberFormat="1" applyFont="1"/>
    <xf numFmtId="1" fontId="80" fillId="1" borderId="8" xfId="0" applyNumberFormat="1" applyFont="1" applyFill="1" applyBorder="1" applyAlignment="1">
      <alignment horizontal="center" vertical="center"/>
    </xf>
    <xf numFmtId="0" fontId="80" fillId="1" borderId="8" xfId="0" applyFont="1" applyFill="1" applyBorder="1" applyAlignment="1">
      <alignment horizontal="justify" vertical="center" wrapText="1"/>
    </xf>
    <xf numFmtId="0" fontId="80" fillId="1" borderId="8" xfId="0" applyFont="1" applyFill="1" applyBorder="1" applyAlignment="1">
      <alignment horizontal="center" vertical="center" wrapText="1"/>
    </xf>
    <xf numFmtId="4" fontId="80" fillId="1" borderId="8" xfId="0" applyNumberFormat="1" applyFont="1" applyFill="1" applyBorder="1" applyAlignment="1">
      <alignment horizontal="right" vertical="center" wrapText="1"/>
    </xf>
    <xf numFmtId="49" fontId="82" fillId="1" borderId="0" xfId="0" applyNumberFormat="1" applyFont="1" applyFill="1" applyBorder="1" applyAlignment="1">
      <alignment horizontal="center" vertical="top"/>
    </xf>
    <xf numFmtId="49" fontId="82" fillId="0" borderId="0" xfId="0" applyNumberFormat="1" applyFont="1" applyAlignment="1">
      <alignment horizontal="justify" vertical="top" wrapText="1"/>
    </xf>
    <xf numFmtId="4" fontId="92" fillId="0" borderId="0" xfId="0" applyNumberFormat="1" applyFont="1" applyBorder="1"/>
    <xf numFmtId="4" fontId="92" fillId="0" borderId="0" xfId="0" applyNumberFormat="1" applyFont="1" applyBorder="1" applyAlignment="1" applyProtection="1">
      <alignment horizontal="center"/>
      <protection locked="0"/>
    </xf>
    <xf numFmtId="4" fontId="92" fillId="0" borderId="0" xfId="0" applyNumberFormat="1" applyFont="1" applyBorder="1" applyAlignment="1">
      <alignment horizontal="right"/>
    </xf>
    <xf numFmtId="49" fontId="80" fillId="1" borderId="0" xfId="0" applyNumberFormat="1" applyFont="1" applyFill="1" applyBorder="1" applyAlignment="1">
      <alignment horizontal="center" vertical="top"/>
    </xf>
    <xf numFmtId="49" fontId="80" fillId="0" borderId="0" xfId="0" applyNumberFormat="1" applyFont="1" applyAlignment="1">
      <alignment horizontal="justify" vertical="top" wrapText="1"/>
    </xf>
    <xf numFmtId="0" fontId="87" fillId="0" borderId="0" xfId="25" applyFont="1" applyFill="1" applyAlignment="1">
      <alignment horizontal="justify" vertical="top"/>
    </xf>
    <xf numFmtId="0" fontId="87" fillId="0" borderId="0" xfId="25" applyFont="1" applyAlignment="1">
      <alignment horizontal="justify" vertical="top"/>
    </xf>
    <xf numFmtId="0" fontId="87" fillId="0" borderId="0" xfId="26" applyNumberFormat="1" applyFont="1" applyFill="1" applyBorder="1" applyAlignment="1" applyProtection="1">
      <alignment vertical="top" wrapText="1"/>
    </xf>
    <xf numFmtId="0" fontId="86" fillId="0" borderId="0" xfId="25" applyFont="1" applyAlignment="1">
      <alignment horizontal="justify" vertical="top"/>
    </xf>
    <xf numFmtId="0" fontId="87" fillId="0" borderId="0" xfId="0" applyFont="1" applyFill="1" applyAlignment="1">
      <alignment horizontal="justify" vertical="top" wrapText="1"/>
    </xf>
    <xf numFmtId="0" fontId="86" fillId="0" borderId="0" xfId="0" applyFont="1" applyFill="1" applyAlignment="1">
      <alignment horizontal="justify" vertical="top" wrapText="1"/>
    </xf>
    <xf numFmtId="0" fontId="86" fillId="0" borderId="0" xfId="0" applyFont="1" applyFill="1" applyAlignment="1">
      <alignment horizontal="justify" vertical="top"/>
    </xf>
    <xf numFmtId="0" fontId="86" fillId="0" borderId="0" xfId="27" applyFont="1" applyFill="1" applyAlignment="1">
      <alignment horizontal="justify" vertical="top" wrapText="1"/>
    </xf>
    <xf numFmtId="0" fontId="87" fillId="0" borderId="0" xfId="27" applyFont="1" applyAlignment="1">
      <alignment horizontal="justify" vertical="top" wrapText="1"/>
    </xf>
    <xf numFmtId="0" fontId="86" fillId="0" borderId="0" xfId="27" applyFont="1" applyAlignment="1">
      <alignment horizontal="justify" vertical="top" wrapText="1"/>
    </xf>
    <xf numFmtId="0" fontId="88" fillId="0" borderId="0" xfId="0" applyFont="1" applyFill="1" applyAlignment="1">
      <alignment horizontal="right" vertical="top"/>
    </xf>
    <xf numFmtId="0" fontId="88" fillId="0" borderId="0" xfId="0" applyFont="1" applyAlignment="1">
      <alignment horizontal="center" vertical="center"/>
    </xf>
    <xf numFmtId="4" fontId="33" fillId="0" borderId="0" xfId="0" applyNumberFormat="1" applyFont="1" applyAlignment="1" applyProtection="1">
      <alignment horizontal="right" vertical="top"/>
      <protection locked="0"/>
    </xf>
    <xf numFmtId="1" fontId="85" fillId="1" borderId="0" xfId="0" applyNumberFormat="1" applyFont="1" applyFill="1" applyAlignment="1">
      <alignment horizontal="center" vertical="top"/>
    </xf>
    <xf numFmtId="0" fontId="87" fillId="0" borderId="0" xfId="0" quotePrefix="1" applyFont="1" applyAlignment="1">
      <alignment horizontal="justify" vertical="top"/>
    </xf>
    <xf numFmtId="0" fontId="59" fillId="0" borderId="0" xfId="0" applyFont="1" applyAlignment="1">
      <alignment horizontal="center" vertical="center"/>
    </xf>
    <xf numFmtId="0" fontId="88" fillId="0" borderId="0" xfId="0" applyFont="1" applyAlignment="1">
      <alignment vertical="top"/>
    </xf>
    <xf numFmtId="0" fontId="83" fillId="0" borderId="0" xfId="0" applyFont="1" applyAlignment="1">
      <alignment horizontal="center" vertical="center" wrapText="1"/>
    </xf>
    <xf numFmtId="4" fontId="92" fillId="0" borderId="0" xfId="0" applyNumberFormat="1" applyFont="1" applyProtection="1">
      <protection locked="0"/>
    </xf>
    <xf numFmtId="1" fontId="59" fillId="0" borderId="0" xfId="0" applyNumberFormat="1" applyFont="1" applyAlignment="1">
      <alignment horizontal="right" vertical="top"/>
    </xf>
    <xf numFmtId="4" fontId="92" fillId="0" borderId="0" xfId="0" applyNumberFormat="1" applyFont="1" applyBorder="1" applyAlignment="1">
      <alignment horizontal="right" vertical="top"/>
    </xf>
    <xf numFmtId="0" fontId="83" fillId="0" borderId="11" xfId="0" applyFont="1" applyBorder="1" applyAlignment="1">
      <alignment horizontal="justify" vertical="top"/>
    </xf>
    <xf numFmtId="0" fontId="92" fillId="0" borderId="11" xfId="0" applyFont="1" applyBorder="1" applyAlignment="1">
      <alignment horizontal="center" vertical="center"/>
    </xf>
    <xf numFmtId="9" fontId="88" fillId="0" borderId="11" xfId="0" applyNumberFormat="1" applyFont="1" applyBorder="1" applyAlignment="1">
      <alignment horizontal="right" vertical="top"/>
    </xf>
    <xf numFmtId="4" fontId="92" fillId="0" borderId="11" xfId="0" applyNumberFormat="1" applyFont="1" applyBorder="1" applyProtection="1">
      <protection locked="0"/>
    </xf>
    <xf numFmtId="4" fontId="92" fillId="0" borderId="11" xfId="0" applyNumberFormat="1" applyFont="1" applyBorder="1" applyAlignment="1">
      <alignment vertical="top"/>
    </xf>
    <xf numFmtId="0" fontId="92" fillId="0" borderId="0" xfId="0" applyFont="1" applyBorder="1" applyAlignment="1">
      <alignment horizontal="justify" vertical="top" wrapText="1"/>
    </xf>
    <xf numFmtId="0" fontId="92" fillId="0" borderId="0" xfId="0" applyFont="1" applyBorder="1" applyAlignment="1">
      <alignment horizontal="center" vertical="center"/>
    </xf>
    <xf numFmtId="0" fontId="14" fillId="0" borderId="0" xfId="0" applyFont="1"/>
    <xf numFmtId="49" fontId="24" fillId="0" borderId="5" xfId="0" applyNumberFormat="1" applyFont="1" applyBorder="1" applyAlignment="1">
      <alignment horizontal="center"/>
    </xf>
    <xf numFmtId="39" fontId="24" fillId="0" borderId="5" xfId="0" applyNumberFormat="1" applyFont="1" applyBorder="1" applyAlignment="1">
      <alignment horizontal="center" vertical="center" wrapText="1"/>
    </xf>
    <xf numFmtId="0" fontId="24" fillId="0" borderId="5" xfId="0" applyFont="1" applyBorder="1" applyAlignment="1">
      <alignment horizontal="center" vertical="center" wrapText="1"/>
    </xf>
    <xf numFmtId="0" fontId="24" fillId="0" borderId="26" xfId="0" applyNumberFormat="1" applyFont="1" applyBorder="1" applyAlignment="1">
      <alignment horizontal="center" vertical="center"/>
    </xf>
    <xf numFmtId="4" fontId="25" fillId="0" borderId="0" xfId="0" applyNumberFormat="1" applyFont="1" applyBorder="1" applyAlignment="1">
      <alignment horizontal="center" vertical="center" wrapText="1"/>
    </xf>
    <xf numFmtId="0" fontId="25" fillId="0" borderId="0" xfId="0" applyNumberFormat="1" applyFont="1" applyBorder="1" applyAlignment="1">
      <alignment horizontal="center" vertical="center" wrapText="1"/>
    </xf>
    <xf numFmtId="0" fontId="25" fillId="0" borderId="0" xfId="0" applyFont="1" applyAlignment="1"/>
    <xf numFmtId="4" fontId="35" fillId="0" borderId="0" xfId="0" applyNumberFormat="1" applyFont="1" applyBorder="1" applyAlignment="1">
      <alignment horizontal="center" vertical="center"/>
    </xf>
    <xf numFmtId="4" fontId="25" fillId="0" borderId="0" xfId="6" applyNumberFormat="1" applyFont="1" applyBorder="1" applyAlignment="1">
      <alignment horizontal="center"/>
    </xf>
    <xf numFmtId="0" fontId="24" fillId="0" borderId="0" xfId="0" applyFont="1" applyBorder="1" applyAlignment="1">
      <alignment horizontal="left" wrapText="1"/>
    </xf>
    <xf numFmtId="4" fontId="24" fillId="0" borderId="0" xfId="6" applyNumberFormat="1" applyFont="1" applyBorder="1" applyAlignment="1">
      <alignment horizontal="left" vertical="top" wrapText="1"/>
    </xf>
    <xf numFmtId="4" fontId="25" fillId="0" borderId="0" xfId="0" applyNumberFormat="1" applyFont="1" applyBorder="1" applyAlignment="1">
      <alignment horizontal="center"/>
    </xf>
    <xf numFmtId="0" fontId="25" fillId="0" borderId="0" xfId="0" applyNumberFormat="1" applyFont="1" applyBorder="1" applyAlignment="1">
      <alignment horizontal="center"/>
    </xf>
    <xf numFmtId="0" fontId="24" fillId="0" borderId="0" xfId="0" applyFont="1" applyAlignment="1">
      <alignment horizontal="left" vertical="top" wrapText="1"/>
    </xf>
    <xf numFmtId="4" fontId="25" fillId="0" borderId="0" xfId="0" applyNumberFormat="1" applyFont="1" applyAlignment="1">
      <alignment horizontal="center"/>
    </xf>
    <xf numFmtId="0" fontId="25" fillId="0" borderId="0" xfId="0" applyFont="1" applyAlignment="1">
      <alignment horizontal="center"/>
    </xf>
    <xf numFmtId="49" fontId="25" fillId="0" borderId="0" xfId="15" applyNumberFormat="1" applyFont="1" applyFill="1"/>
    <xf numFmtId="0" fontId="25" fillId="0" borderId="0" xfId="15" applyFont="1" applyFill="1" applyAlignment="1">
      <alignment vertical="top" wrapText="1"/>
    </xf>
    <xf numFmtId="172" fontId="25" fillId="0" borderId="0" xfId="15" applyNumberFormat="1" applyFont="1" applyFill="1"/>
    <xf numFmtId="0" fontId="39" fillId="0" borderId="0" xfId="15" applyFont="1" applyFill="1"/>
    <xf numFmtId="172" fontId="25" fillId="0" borderId="0" xfId="15" applyNumberFormat="1" applyFont="1" applyFill="1" applyAlignment="1">
      <alignment horizontal="right"/>
    </xf>
    <xf numFmtId="0" fontId="25" fillId="0" borderId="0" xfId="15" applyFont="1"/>
    <xf numFmtId="0" fontId="24" fillId="0" borderId="0" xfId="15" applyFont="1" applyFill="1"/>
    <xf numFmtId="172" fontId="24" fillId="0" borderId="0" xfId="15" applyNumberFormat="1" applyFont="1" applyFill="1"/>
    <xf numFmtId="172" fontId="25" fillId="0" borderId="0" xfId="15" applyNumberFormat="1" applyFont="1"/>
    <xf numFmtId="0" fontId="24" fillId="0" borderId="0" xfId="15" applyFont="1"/>
    <xf numFmtId="172" fontId="24" fillId="0" borderId="0" xfId="15" applyNumberFormat="1" applyFont="1"/>
    <xf numFmtId="0" fontId="102" fillId="0" borderId="0" xfId="15" applyFont="1"/>
    <xf numFmtId="0" fontId="39" fillId="0" borderId="0" xfId="15" applyFont="1"/>
    <xf numFmtId="0" fontId="25" fillId="0" borderId="0" xfId="15" applyFont="1" applyAlignment="1">
      <alignment horizontal="left" vertical="top"/>
    </xf>
    <xf numFmtId="0" fontId="25" fillId="0" borderId="0" xfId="15" applyFont="1" applyAlignment="1">
      <alignment horizontal="left" vertical="top" wrapText="1"/>
    </xf>
    <xf numFmtId="0" fontId="40" fillId="5" borderId="10" xfId="15" applyFont="1" applyFill="1" applyBorder="1" applyAlignment="1">
      <alignment horizontal="left" vertical="top"/>
    </xf>
    <xf numFmtId="49" fontId="40" fillId="5" borderId="10" xfId="15" applyNumberFormat="1" applyFont="1" applyFill="1" applyBorder="1" applyAlignment="1">
      <alignment horizontal="justify" vertical="top" wrapText="1"/>
    </xf>
    <xf numFmtId="0" fontId="40" fillId="5" borderId="10" xfId="15" applyFont="1" applyFill="1" applyBorder="1" applyAlignment="1">
      <alignment horizontal="justify" vertical="top" wrapText="1"/>
    </xf>
    <xf numFmtId="0" fontId="40" fillId="5" borderId="10" xfId="15" applyFont="1" applyFill="1" applyBorder="1" applyAlignment="1">
      <alignment horizontal="center" vertical="top"/>
    </xf>
    <xf numFmtId="2" fontId="40" fillId="5" borderId="10" xfId="15" applyNumberFormat="1" applyFont="1" applyFill="1" applyBorder="1" applyAlignment="1">
      <alignment horizontal="center" vertical="top"/>
    </xf>
    <xf numFmtId="0" fontId="25" fillId="0" borderId="0" xfId="15" applyFont="1" applyAlignment="1">
      <alignment vertical="top"/>
    </xf>
    <xf numFmtId="49" fontId="25" fillId="0" borderId="0" xfId="15" applyNumberFormat="1" applyFont="1" applyAlignment="1">
      <alignment vertical="top" wrapText="1"/>
    </xf>
    <xf numFmtId="0" fontId="25" fillId="0" borderId="0" xfId="15" applyFont="1" applyAlignment="1">
      <alignment vertical="top" wrapText="1"/>
    </xf>
    <xf numFmtId="49" fontId="25" fillId="0" borderId="0" xfId="15" applyNumberFormat="1" applyFont="1" applyAlignment="1">
      <alignment horizontal="left" vertical="top" wrapText="1"/>
    </xf>
    <xf numFmtId="49" fontId="24" fillId="0" borderId="8" xfId="15" applyNumberFormat="1" applyFont="1" applyBorder="1" applyAlignment="1">
      <alignment horizontal="center"/>
    </xf>
    <xf numFmtId="0" fontId="24" fillId="0" borderId="8" xfId="15" applyFont="1" applyBorder="1" applyAlignment="1">
      <alignment horizontal="center"/>
    </xf>
    <xf numFmtId="0" fontId="24" fillId="0" borderId="8" xfId="15" applyFont="1" applyBorder="1" applyAlignment="1">
      <alignment horizontal="justify"/>
    </xf>
    <xf numFmtId="0" fontId="25" fillId="0" borderId="8" xfId="15" applyFont="1" applyBorder="1" applyAlignment="1">
      <alignment horizontal="center"/>
    </xf>
    <xf numFmtId="0" fontId="40" fillId="0" borderId="0" xfId="15" applyFont="1" applyAlignment="1">
      <alignment horizontal="left" vertical="top"/>
    </xf>
    <xf numFmtId="0" fontId="40" fillId="0" borderId="0" xfId="15" applyFont="1" applyAlignment="1">
      <alignment horizontal="justify" vertical="top" wrapText="1"/>
    </xf>
    <xf numFmtId="0" fontId="40" fillId="0" borderId="0" xfId="15" applyFont="1" applyAlignment="1">
      <alignment horizontal="center" vertical="top"/>
    </xf>
    <xf numFmtId="2" fontId="40" fillId="0" borderId="0" xfId="15" applyNumberFormat="1" applyFont="1" applyAlignment="1">
      <alignment vertical="top"/>
    </xf>
    <xf numFmtId="0" fontId="25" fillId="0" borderId="0" xfId="15" applyFont="1" applyAlignment="1">
      <alignment horizontal="justify" vertical="top" wrapText="1"/>
    </xf>
    <xf numFmtId="0" fontId="24" fillId="0" borderId="8" xfId="15" applyFont="1" applyBorder="1" applyAlignment="1">
      <alignment horizontal="left"/>
    </xf>
    <xf numFmtId="1" fontId="25" fillId="0" borderId="0" xfId="15" applyNumberFormat="1" applyFont="1" applyAlignment="1">
      <alignment vertical="top"/>
    </xf>
    <xf numFmtId="0" fontId="39" fillId="0" borderId="0" xfId="15" applyFont="1" applyAlignment="1">
      <alignment horizontal="left" vertical="top"/>
    </xf>
    <xf numFmtId="49" fontId="39" fillId="0" borderId="0" xfId="15" applyNumberFormat="1" applyFont="1" applyAlignment="1">
      <alignment horizontal="justify" vertical="top" wrapText="1"/>
    </xf>
    <xf numFmtId="0" fontId="39" fillId="0" borderId="0" xfId="15" applyFont="1" applyAlignment="1">
      <alignment horizontal="justify" vertical="top" wrapText="1"/>
    </xf>
    <xf numFmtId="0" fontId="39" fillId="0" borderId="0" xfId="15" applyFont="1" applyAlignment="1">
      <alignment horizontal="center" vertical="top"/>
    </xf>
    <xf numFmtId="2" fontId="39" fillId="0" borderId="0" xfId="15" applyNumberFormat="1" applyFont="1" applyAlignment="1">
      <alignment vertical="top"/>
    </xf>
    <xf numFmtId="49" fontId="25" fillId="0" borderId="0" xfId="15" applyNumberFormat="1" applyFont="1" applyAlignment="1">
      <alignment horizontal="center"/>
    </xf>
    <xf numFmtId="0" fontId="25" fillId="0" borderId="0" xfId="15" applyFont="1" applyAlignment="1">
      <alignment wrapText="1"/>
    </xf>
    <xf numFmtId="0" fontId="37" fillId="0" borderId="0" xfId="15" applyFont="1" applyAlignment="1">
      <alignment horizontal="right" vertical="top"/>
    </xf>
    <xf numFmtId="0" fontId="25" fillId="0" borderId="0" xfId="15" applyFont="1" applyAlignment="1">
      <alignment horizontal="justify"/>
    </xf>
    <xf numFmtId="0" fontId="106" fillId="0" borderId="0" xfId="0" applyFont="1" applyFill="1" applyAlignment="1">
      <alignment horizontal="left" vertical="top"/>
    </xf>
    <xf numFmtId="49" fontId="40" fillId="0" borderId="0" xfId="0" applyNumberFormat="1" applyFont="1" applyFill="1" applyAlignment="1">
      <alignment horizontal="justify" vertical="top" wrapText="1"/>
    </xf>
    <xf numFmtId="0" fontId="25" fillId="0" borderId="0" xfId="0" applyFont="1" applyAlignment="1">
      <alignment horizontal="justify" vertical="top"/>
    </xf>
    <xf numFmtId="16" fontId="25" fillId="0" borderId="0" xfId="0" applyNumberFormat="1" applyFont="1"/>
    <xf numFmtId="0" fontId="25" fillId="0" borderId="0" xfId="0" applyFont="1" applyFill="1" applyAlignment="1">
      <alignment horizontal="left" vertical="top"/>
    </xf>
    <xf numFmtId="0" fontId="25" fillId="0" borderId="0" xfId="0" applyFont="1" applyAlignment="1">
      <alignment horizontal="left" vertical="top"/>
    </xf>
    <xf numFmtId="49" fontId="25" fillId="0" borderId="0" xfId="0" applyNumberFormat="1" applyFont="1" applyAlignment="1">
      <alignment horizontal="justify" vertical="top" wrapText="1"/>
    </xf>
    <xf numFmtId="0" fontId="25" fillId="0" borderId="0" xfId="0" applyFont="1" applyAlignment="1">
      <alignment horizontal="left" vertical="top" wrapText="1"/>
    </xf>
    <xf numFmtId="173" fontId="25" fillId="0" borderId="0" xfId="0" applyNumberFormat="1" applyFont="1" applyAlignment="1">
      <alignment vertical="top"/>
    </xf>
    <xf numFmtId="4" fontId="25" fillId="0" borderId="0" xfId="0" applyNumberFormat="1" applyFont="1" applyAlignment="1">
      <alignment vertical="top"/>
    </xf>
    <xf numFmtId="0" fontId="40" fillId="5" borderId="10" xfId="0" applyFont="1" applyFill="1" applyBorder="1" applyAlignment="1">
      <alignment horizontal="left" vertical="top"/>
    </xf>
    <xf numFmtId="49" fontId="40" fillId="5" borderId="10" xfId="0" applyNumberFormat="1" applyFont="1" applyFill="1" applyBorder="1" applyAlignment="1">
      <alignment horizontal="justify" vertical="top" wrapText="1"/>
    </xf>
    <xf numFmtId="0" fontId="40" fillId="5" borderId="10" xfId="0" applyFont="1" applyFill="1" applyBorder="1" applyAlignment="1">
      <alignment horizontal="justify" vertical="top" wrapText="1"/>
    </xf>
    <xf numFmtId="0" fontId="40" fillId="5" borderId="10" xfId="0" applyFont="1" applyFill="1" applyBorder="1" applyAlignment="1">
      <alignment horizontal="center" vertical="top"/>
    </xf>
    <xf numFmtId="2" fontId="40" fillId="5" borderId="10" xfId="0" applyNumberFormat="1" applyFont="1" applyFill="1" applyBorder="1" applyAlignment="1">
      <alignment horizontal="center" vertical="top"/>
    </xf>
    <xf numFmtId="0" fontId="25" fillId="0" borderId="0" xfId="0" applyFont="1" applyAlignment="1">
      <alignment vertical="top"/>
    </xf>
    <xf numFmtId="49" fontId="25" fillId="0" borderId="0" xfId="0" applyNumberFormat="1" applyFont="1" applyAlignment="1">
      <alignment vertical="top" wrapText="1"/>
    </xf>
    <xf numFmtId="0" fontId="25" fillId="0" borderId="0" xfId="0" applyFont="1" applyAlignment="1">
      <alignment vertical="top" wrapText="1"/>
    </xf>
    <xf numFmtId="49" fontId="103" fillId="0" borderId="0" xfId="0" applyNumberFormat="1" applyFont="1" applyAlignment="1">
      <alignment horizontal="justify" vertical="top" wrapText="1"/>
    </xf>
    <xf numFmtId="2" fontId="25" fillId="0" borderId="0" xfId="0" applyNumberFormat="1" applyFont="1" applyAlignment="1">
      <alignment vertical="top"/>
    </xf>
    <xf numFmtId="49" fontId="25" fillId="0" borderId="0" xfId="0" applyNumberFormat="1" applyFont="1" applyAlignment="1">
      <alignment horizontal="left" vertical="top" wrapText="1"/>
    </xf>
    <xf numFmtId="0" fontId="40" fillId="0" borderId="9" xfId="0" applyFont="1" applyBorder="1" applyAlignment="1">
      <alignment horizontal="justify" vertical="top" wrapText="1"/>
    </xf>
    <xf numFmtId="0" fontId="25" fillId="0" borderId="9" xfId="0" applyFont="1" applyBorder="1" applyAlignment="1">
      <alignment horizontal="left" vertical="top" wrapText="1"/>
    </xf>
    <xf numFmtId="0" fontId="25" fillId="0" borderId="9" xfId="0" applyFont="1" applyBorder="1" applyAlignment="1">
      <alignment horizontal="right" wrapText="1"/>
    </xf>
    <xf numFmtId="0" fontId="25" fillId="0" borderId="9" xfId="0" applyFont="1" applyBorder="1" applyAlignment="1">
      <alignment vertical="top" wrapText="1"/>
    </xf>
    <xf numFmtId="0" fontId="24" fillId="0" borderId="8" xfId="0" applyFont="1" applyBorder="1" applyAlignment="1">
      <alignment horizontal="left" vertical="center"/>
    </xf>
    <xf numFmtId="49" fontId="24" fillId="0" borderId="8" xfId="0" applyNumberFormat="1" applyFont="1" applyBorder="1" applyAlignment="1">
      <alignment horizontal="center"/>
    </xf>
    <xf numFmtId="0" fontId="24" fillId="0" borderId="8" xfId="0" applyFont="1" applyBorder="1" applyAlignment="1">
      <alignment horizontal="center"/>
    </xf>
    <xf numFmtId="0" fontId="24" fillId="0" borderId="8" xfId="0" applyFont="1" applyBorder="1" applyAlignment="1">
      <alignment horizontal="justify"/>
    </xf>
    <xf numFmtId="0" fontId="25" fillId="0" borderId="8" xfId="0" applyFont="1" applyBorder="1" applyAlignment="1">
      <alignment horizontal="center"/>
    </xf>
    <xf numFmtId="0" fontId="25" fillId="0" borderId="0" xfId="0" applyFont="1" applyBorder="1" applyAlignment="1">
      <alignment horizontal="left" vertical="top"/>
    </xf>
    <xf numFmtId="0" fontId="25" fillId="0" borderId="0" xfId="0" applyFont="1" applyBorder="1" applyAlignment="1">
      <alignment vertical="top"/>
    </xf>
    <xf numFmtId="0" fontId="40" fillId="5" borderId="0" xfId="0" applyFont="1" applyFill="1" applyBorder="1" applyAlignment="1">
      <alignment horizontal="left" vertical="top"/>
    </xf>
    <xf numFmtId="49" fontId="40" fillId="5" borderId="0" xfId="0" applyNumberFormat="1" applyFont="1" applyFill="1" applyBorder="1" applyAlignment="1">
      <alignment horizontal="justify" vertical="top" wrapText="1"/>
    </xf>
    <xf numFmtId="0" fontId="40" fillId="5" borderId="0" xfId="0" applyFont="1" applyFill="1" applyBorder="1" applyAlignment="1">
      <alignment horizontal="justify" vertical="top" wrapText="1"/>
    </xf>
    <xf numFmtId="0" fontId="40" fillId="5" borderId="0" xfId="0" applyFont="1" applyFill="1" applyBorder="1" applyAlignment="1">
      <alignment horizontal="center" vertical="top"/>
    </xf>
    <xf numFmtId="2" fontId="40" fillId="5" borderId="0" xfId="0" applyNumberFormat="1" applyFont="1" applyFill="1" applyBorder="1" applyAlignment="1">
      <alignment horizontal="center" vertical="top"/>
    </xf>
    <xf numFmtId="49" fontId="25" fillId="0" borderId="0" xfId="0" applyNumberFormat="1" applyFont="1" applyBorder="1" applyAlignment="1">
      <alignment vertical="top" wrapText="1"/>
    </xf>
    <xf numFmtId="0" fontId="25" fillId="0" borderId="0" xfId="0" applyFont="1" applyBorder="1" applyAlignment="1">
      <alignment vertical="top" wrapText="1"/>
    </xf>
    <xf numFmtId="49" fontId="25" fillId="0" borderId="0" xfId="0" applyNumberFormat="1" applyFont="1" applyBorder="1" applyAlignment="1">
      <alignment horizontal="justify" vertical="top" wrapText="1"/>
    </xf>
    <xf numFmtId="173" fontId="25" fillId="0" borderId="0" xfId="0" applyNumberFormat="1" applyFont="1" applyBorder="1" applyAlignment="1">
      <alignment vertical="top"/>
    </xf>
    <xf numFmtId="0" fontId="25" fillId="0" borderId="0" xfId="0" applyFont="1" applyBorder="1" applyAlignment="1">
      <alignment horizontal="justify" vertical="top" wrapText="1"/>
    </xf>
    <xf numFmtId="0" fontId="25" fillId="0" borderId="0" xfId="0" applyFont="1" applyBorder="1" applyAlignment="1">
      <alignment horizontal="right" vertical="top" wrapText="1"/>
    </xf>
    <xf numFmtId="0" fontId="25" fillId="0" borderId="0" xfId="0" applyFont="1" applyBorder="1" applyAlignment="1">
      <alignment horizontal="right" wrapText="1"/>
    </xf>
    <xf numFmtId="0" fontId="25" fillId="0" borderId="0" xfId="0" applyFont="1" applyBorder="1" applyAlignment="1">
      <alignment horizontal="center" vertical="top" wrapText="1"/>
    </xf>
    <xf numFmtId="0" fontId="40" fillId="0" borderId="0" xfId="0" applyFont="1" applyBorder="1" applyAlignment="1">
      <alignment horizontal="justify" vertical="top" wrapText="1"/>
    </xf>
    <xf numFmtId="0" fontId="40" fillId="0" borderId="0" xfId="0" applyFont="1" applyBorder="1" applyAlignment="1">
      <alignment horizontal="right" wrapText="1"/>
    </xf>
    <xf numFmtId="0" fontId="25" fillId="0" borderId="0" xfId="0" applyFont="1" applyBorder="1" applyAlignment="1">
      <alignment horizontal="right" vertical="top"/>
    </xf>
    <xf numFmtId="0" fontId="24" fillId="0" borderId="0" xfId="0" applyFont="1" applyBorder="1" applyAlignment="1">
      <alignment horizontal="left"/>
    </xf>
    <xf numFmtId="0" fontId="24" fillId="0" borderId="0" xfId="0" applyFont="1" applyBorder="1" applyAlignment="1">
      <alignment horizontal="center"/>
    </xf>
    <xf numFmtId="0" fontId="24" fillId="0" borderId="0" xfId="0" applyFont="1" applyBorder="1" applyAlignment="1">
      <alignment horizontal="justify"/>
    </xf>
    <xf numFmtId="0" fontId="40" fillId="0" borderId="0" xfId="0" applyFont="1" applyBorder="1" applyAlignment="1">
      <alignment horizontal="left" vertical="top"/>
    </xf>
    <xf numFmtId="49" fontId="40" fillId="0" borderId="0" xfId="0" applyNumberFormat="1" applyFont="1" applyFill="1" applyBorder="1" applyAlignment="1">
      <alignment horizontal="justify" vertical="top" wrapText="1"/>
    </xf>
    <xf numFmtId="0" fontId="40" fillId="0" borderId="0" xfId="0" applyFont="1" applyBorder="1" applyAlignment="1">
      <alignment horizontal="center" vertical="top"/>
    </xf>
    <xf numFmtId="2" fontId="40" fillId="0" borderId="0" xfId="0" applyNumberFormat="1" applyFont="1" applyBorder="1" applyAlignment="1">
      <alignment vertical="top"/>
    </xf>
    <xf numFmtId="0" fontId="40" fillId="0" borderId="0" xfId="0" applyFont="1" applyBorder="1" applyAlignment="1">
      <alignment vertical="center"/>
    </xf>
    <xf numFmtId="0" fontId="40" fillId="0" borderId="0" xfId="0" applyFont="1" applyAlignment="1">
      <alignment horizontal="left" vertical="top"/>
    </xf>
    <xf numFmtId="0" fontId="40" fillId="0" borderId="0" xfId="0" applyFont="1" applyAlignment="1">
      <alignment horizontal="justify" vertical="top" wrapText="1"/>
    </xf>
    <xf numFmtId="0" fontId="40" fillId="0" borderId="0" xfId="0" applyFont="1" applyAlignment="1">
      <alignment horizontal="center" vertical="top"/>
    </xf>
    <xf numFmtId="2" fontId="40" fillId="0" borderId="0" xfId="0" applyNumberFormat="1" applyFont="1" applyAlignment="1">
      <alignment vertical="top"/>
    </xf>
    <xf numFmtId="0" fontId="0" fillId="0" borderId="0" xfId="0" applyProtection="1">
      <protection locked="0"/>
    </xf>
    <xf numFmtId="0" fontId="49" fillId="0" borderId="0" xfId="15" applyFont="1" applyProtection="1"/>
    <xf numFmtId="49" fontId="40" fillId="5" borderId="10" xfId="0" applyNumberFormat="1" applyFont="1" applyFill="1" applyBorder="1" applyAlignment="1" applyProtection="1">
      <alignment horizontal="justify" vertical="top" wrapText="1"/>
    </xf>
    <xf numFmtId="0" fontId="25" fillId="0" borderId="0" xfId="0" applyFont="1" applyAlignment="1" applyProtection="1">
      <alignment vertical="top"/>
    </xf>
    <xf numFmtId="0" fontId="40" fillId="0" borderId="0" xfId="0" applyFont="1" applyAlignment="1" applyProtection="1">
      <alignment horizontal="left" vertical="top"/>
    </xf>
    <xf numFmtId="49" fontId="40" fillId="0" borderId="0" xfId="0" applyNumberFormat="1" applyFont="1" applyAlignment="1" applyProtection="1">
      <alignment horizontal="justify" vertical="top" wrapText="1"/>
    </xf>
    <xf numFmtId="0" fontId="40" fillId="0" borderId="0" xfId="0" applyFont="1" applyAlignment="1" applyProtection="1">
      <alignment horizontal="justify" vertical="top" wrapText="1"/>
    </xf>
    <xf numFmtId="0" fontId="40" fillId="0" borderId="0" xfId="0" applyFont="1" applyAlignment="1" applyProtection="1">
      <alignment horizontal="center" vertical="top"/>
    </xf>
    <xf numFmtId="2" fontId="40" fillId="0" borderId="0" xfId="0" applyNumberFormat="1" applyFont="1" applyAlignment="1" applyProtection="1">
      <alignment vertical="top"/>
    </xf>
    <xf numFmtId="2" fontId="63" fillId="0" borderId="0" xfId="15" applyNumberFormat="1" applyFont="1" applyAlignment="1" applyProtection="1">
      <alignment vertical="top"/>
    </xf>
    <xf numFmtId="4" fontId="63" fillId="0" borderId="0" xfId="15" applyNumberFormat="1" applyFont="1" applyAlignment="1" applyProtection="1">
      <alignment vertical="top"/>
    </xf>
    <xf numFmtId="0" fontId="53" fillId="0" borderId="0" xfId="15" applyFont="1" applyAlignment="1" applyProtection="1">
      <alignment vertical="top"/>
    </xf>
    <xf numFmtId="0" fontId="25" fillId="0" borderId="0" xfId="0" applyFont="1" applyAlignment="1" applyProtection="1">
      <alignment horizontal="left" vertical="top"/>
    </xf>
    <xf numFmtId="49" fontId="25" fillId="0" borderId="0" xfId="0" applyNumberFormat="1" applyFont="1" applyAlignment="1" applyProtection="1">
      <alignment horizontal="justify" vertical="top" wrapText="1"/>
    </xf>
    <xf numFmtId="0" fontId="25" fillId="0" borderId="0" xfId="0" applyFont="1" applyAlignment="1" applyProtection="1">
      <alignment horizontal="left" vertical="top" wrapText="1"/>
    </xf>
    <xf numFmtId="173" fontId="25" fillId="0" borderId="0" xfId="0" applyNumberFormat="1" applyFont="1" applyAlignment="1" applyProtection="1">
      <alignment vertical="top"/>
    </xf>
    <xf numFmtId="2" fontId="25" fillId="0" borderId="0" xfId="0" applyNumberFormat="1" applyFont="1" applyAlignment="1" applyProtection="1">
      <alignment vertical="top"/>
    </xf>
    <xf numFmtId="0" fontId="60" fillId="0" borderId="0" xfId="15" applyFont="1" applyProtection="1"/>
    <xf numFmtId="0" fontId="40" fillId="5" borderId="10" xfId="0" applyFont="1" applyFill="1" applyBorder="1" applyAlignment="1" applyProtection="1">
      <alignment horizontal="left" vertical="top"/>
    </xf>
    <xf numFmtId="0" fontId="40" fillId="5" borderId="10" xfId="0" applyFont="1" applyFill="1" applyBorder="1" applyAlignment="1" applyProtection="1">
      <alignment horizontal="justify" vertical="top" wrapText="1"/>
    </xf>
    <xf numFmtId="0" fontId="40" fillId="5" borderId="10" xfId="0" applyFont="1" applyFill="1" applyBorder="1" applyAlignment="1" applyProtection="1">
      <alignment horizontal="center" vertical="top"/>
    </xf>
    <xf numFmtId="2" fontId="40" fillId="5" borderId="10" xfId="0" applyNumberFormat="1" applyFont="1" applyFill="1" applyBorder="1" applyAlignment="1" applyProtection="1">
      <alignment horizontal="center" vertical="top"/>
    </xf>
    <xf numFmtId="0" fontId="49" fillId="0" borderId="0" xfId="15" applyFont="1" applyAlignment="1" applyProtection="1">
      <alignment vertical="top"/>
    </xf>
    <xf numFmtId="49" fontId="25" fillId="0" borderId="0" xfId="0" applyNumberFormat="1" applyFont="1" applyAlignment="1" applyProtection="1">
      <alignment vertical="top" wrapText="1"/>
    </xf>
    <xf numFmtId="0" fontId="25" fillId="0" borderId="0" xfId="0" applyFont="1" applyAlignment="1" applyProtection="1">
      <alignment vertical="top" wrapText="1"/>
    </xf>
    <xf numFmtId="49" fontId="103" fillId="0" borderId="0" xfId="0" applyNumberFormat="1" applyFont="1" applyAlignment="1" applyProtection="1">
      <alignment horizontal="justify" vertical="top" wrapText="1"/>
    </xf>
    <xf numFmtId="4" fontId="25" fillId="0" borderId="0" xfId="0" applyNumberFormat="1" applyFont="1" applyAlignment="1" applyProtection="1">
      <alignment vertical="top"/>
    </xf>
    <xf numFmtId="4" fontId="49" fillId="0" borderId="0" xfId="15" applyNumberFormat="1" applyFont="1" applyAlignment="1" applyProtection="1">
      <alignment vertical="top"/>
    </xf>
    <xf numFmtId="0" fontId="21" fillId="0" borderId="0" xfId="15" applyFont="1" applyProtection="1"/>
    <xf numFmtId="0" fontId="61" fillId="0" borderId="0" xfId="15" applyFont="1" applyProtection="1"/>
    <xf numFmtId="0" fontId="40" fillId="0" borderId="9" xfId="0" applyFont="1" applyBorder="1" applyAlignment="1" applyProtection="1">
      <alignment horizontal="justify" vertical="top" wrapText="1"/>
    </xf>
    <xf numFmtId="0" fontId="25" fillId="0" borderId="9" xfId="0" applyFont="1" applyBorder="1" applyAlignment="1" applyProtection="1">
      <alignment horizontal="left" vertical="top" wrapText="1"/>
    </xf>
    <xf numFmtId="0" fontId="25" fillId="0" borderId="9" xfId="0" applyFont="1" applyBorder="1" applyAlignment="1" applyProtection="1">
      <alignment horizontal="right" wrapText="1"/>
    </xf>
    <xf numFmtId="4" fontId="49" fillId="0" borderId="9" xfId="15" applyNumberFormat="1" applyFont="1" applyBorder="1" applyAlignment="1" applyProtection="1">
      <alignment horizontal="right"/>
    </xf>
    <xf numFmtId="4" fontId="49" fillId="0" borderId="0" xfId="15" applyNumberFormat="1" applyFont="1" applyAlignment="1" applyProtection="1">
      <alignment horizontal="right"/>
    </xf>
    <xf numFmtId="1" fontId="49" fillId="4" borderId="0" xfId="15" applyNumberFormat="1" applyFont="1" applyFill="1" applyAlignment="1" applyProtection="1">
      <alignment vertical="top"/>
    </xf>
    <xf numFmtId="49" fontId="25" fillId="0" borderId="0" xfId="0" applyNumberFormat="1" applyFont="1" applyFill="1" applyAlignment="1" applyProtection="1">
      <alignment horizontal="justify" vertical="top" wrapText="1"/>
    </xf>
    <xf numFmtId="0" fontId="25" fillId="0" borderId="0" xfId="0" applyFont="1" applyFill="1" applyAlignment="1" applyProtection="1">
      <alignment horizontal="left" vertical="top"/>
    </xf>
    <xf numFmtId="173" fontId="25" fillId="0" borderId="0" xfId="0" applyNumberFormat="1" applyFont="1" applyFill="1" applyAlignment="1" applyProtection="1">
      <alignment vertical="top"/>
    </xf>
    <xf numFmtId="0" fontId="25" fillId="0" borderId="0" xfId="0" applyFont="1" applyFill="1" applyAlignment="1" applyProtection="1">
      <alignment vertical="top"/>
    </xf>
    <xf numFmtId="0" fontId="40" fillId="0" borderId="9" xfId="0" applyFont="1" applyFill="1" applyBorder="1" applyAlignment="1" applyProtection="1">
      <alignment horizontal="justify" vertical="top" wrapText="1"/>
    </xf>
    <xf numFmtId="0" fontId="25" fillId="0" borderId="9" xfId="0" applyFont="1" applyBorder="1" applyAlignment="1" applyProtection="1">
      <alignment vertical="top" wrapText="1"/>
    </xf>
    <xf numFmtId="0" fontId="25" fillId="0" borderId="9" xfId="0" applyFont="1" applyFill="1" applyBorder="1" applyAlignment="1" applyProtection="1">
      <alignment horizontal="left" vertical="top" wrapText="1"/>
    </xf>
    <xf numFmtId="0" fontId="53" fillId="0" borderId="0" xfId="15" applyFont="1" applyFill="1" applyAlignment="1" applyProtection="1">
      <alignment vertical="top"/>
    </xf>
    <xf numFmtId="4" fontId="49" fillId="0" borderId="0" xfId="15" applyNumberFormat="1" applyFont="1" applyFill="1" applyAlignment="1" applyProtection="1">
      <alignment horizontal="right"/>
    </xf>
    <xf numFmtId="49" fontId="25" fillId="0" borderId="0" xfId="0" applyNumberFormat="1" applyFont="1" applyAlignment="1" applyProtection="1">
      <alignment horizontal="left" vertical="top" wrapText="1"/>
    </xf>
    <xf numFmtId="4" fontId="58" fillId="0" borderId="9" xfId="15" applyNumberFormat="1" applyFont="1" applyBorder="1" applyAlignment="1" applyProtection="1">
      <alignment horizontal="right"/>
    </xf>
    <xf numFmtId="1" fontId="25" fillId="0" borderId="0" xfId="0" applyNumberFormat="1" applyFont="1" applyAlignment="1" applyProtection="1">
      <alignment vertical="top"/>
    </xf>
    <xf numFmtId="4" fontId="33" fillId="0" borderId="0" xfId="15" applyNumberFormat="1" applyFont="1" applyAlignment="1" applyProtection="1">
      <alignment vertical="top"/>
    </xf>
    <xf numFmtId="0" fontId="59" fillId="0" borderId="0" xfId="15" applyFont="1" applyAlignment="1" applyProtection="1">
      <alignment vertical="top"/>
    </xf>
    <xf numFmtId="0" fontId="52" fillId="0" borderId="8" xfId="0" applyFont="1" applyBorder="1" applyAlignment="1" applyProtection="1">
      <alignment horizontal="left" vertical="center"/>
    </xf>
    <xf numFmtId="49" fontId="52" fillId="0" borderId="8" xfId="0" applyNumberFormat="1" applyFont="1" applyBorder="1" applyAlignment="1" applyProtection="1">
      <alignment horizontal="center"/>
    </xf>
    <xf numFmtId="0" fontId="52" fillId="0" borderId="8" xfId="0" applyFont="1" applyBorder="1" applyAlignment="1" applyProtection="1">
      <alignment horizontal="center"/>
    </xf>
    <xf numFmtId="0" fontId="52" fillId="0" borderId="8" xfId="0" applyFont="1" applyBorder="1" applyAlignment="1" applyProtection="1">
      <alignment horizontal="justify"/>
    </xf>
    <xf numFmtId="0" fontId="49" fillId="0" borderId="8" xfId="0" applyFont="1" applyBorder="1" applyAlignment="1" applyProtection="1">
      <alignment horizontal="center"/>
    </xf>
    <xf numFmtId="2" fontId="49" fillId="0" borderId="8" xfId="15" applyNumberFormat="1" applyFont="1" applyBorder="1" applyProtection="1"/>
    <xf numFmtId="4" fontId="52" fillId="0" borderId="8" xfId="15" applyNumberFormat="1" applyFont="1" applyBorder="1" applyProtection="1"/>
    <xf numFmtId="0" fontId="25" fillId="0" borderId="0" xfId="15" applyFont="1" applyAlignment="1" applyProtection="1">
      <alignment vertical="top"/>
    </xf>
    <xf numFmtId="49" fontId="25" fillId="0" borderId="0" xfId="15" applyNumberFormat="1" applyFont="1" applyAlignment="1" applyProtection="1">
      <alignment vertical="top" wrapText="1"/>
    </xf>
    <xf numFmtId="0" fontId="25" fillId="0" borderId="0" xfId="15" applyFont="1" applyAlignment="1" applyProtection="1">
      <alignment vertical="top" wrapText="1"/>
    </xf>
    <xf numFmtId="49" fontId="25" fillId="0" borderId="0" xfId="15" applyNumberFormat="1" applyFont="1" applyAlignment="1" applyProtection="1">
      <alignment horizontal="left" vertical="top" wrapText="1"/>
    </xf>
    <xf numFmtId="49" fontId="49" fillId="0" borderId="0" xfId="15" applyNumberFormat="1" applyFont="1" applyAlignment="1" applyProtection="1">
      <alignment vertical="top" wrapText="1"/>
    </xf>
    <xf numFmtId="0" fontId="49" fillId="0" borderId="0" xfId="15" applyFont="1" applyAlignment="1" applyProtection="1">
      <alignment vertical="top" wrapText="1"/>
    </xf>
    <xf numFmtId="49" fontId="53" fillId="0" borderId="0" xfId="15" applyNumberFormat="1" applyFont="1" applyAlignment="1" applyProtection="1">
      <alignment vertical="top" wrapText="1"/>
    </xf>
    <xf numFmtId="0" fontId="53" fillId="0" borderId="0" xfId="15" applyFont="1" applyAlignment="1" applyProtection="1">
      <alignment vertical="top" wrapText="1"/>
    </xf>
    <xf numFmtId="0" fontId="64" fillId="0" borderId="0" xfId="15" applyFont="1" applyAlignment="1" applyProtection="1">
      <alignment vertical="top"/>
    </xf>
    <xf numFmtId="49" fontId="25" fillId="0" borderId="0" xfId="0" applyNumberFormat="1" applyFont="1" applyAlignment="1" applyProtection="1">
      <alignment horizontal="left" vertical="top"/>
    </xf>
    <xf numFmtId="0" fontId="33" fillId="0" borderId="0" xfId="15" applyFont="1" applyAlignment="1" applyProtection="1">
      <alignment vertical="top"/>
    </xf>
    <xf numFmtId="0" fontId="25" fillId="0" borderId="0" xfId="0" applyFont="1" applyAlignment="1" applyProtection="1">
      <alignment horizontal="justify" vertical="top" wrapText="1"/>
    </xf>
    <xf numFmtId="44" fontId="49" fillId="0" borderId="0" xfId="15" applyNumberFormat="1" applyFont="1" applyAlignment="1" applyProtection="1">
      <alignment vertical="top"/>
    </xf>
    <xf numFmtId="0" fontId="24" fillId="0" borderId="8" xfId="0" applyFont="1" applyBorder="1" applyAlignment="1" applyProtection="1">
      <alignment horizontal="left"/>
    </xf>
    <xf numFmtId="49" fontId="24" fillId="0" borderId="8" xfId="0" applyNumberFormat="1" applyFont="1" applyBorder="1" applyAlignment="1" applyProtection="1">
      <alignment horizontal="center"/>
    </xf>
    <xf numFmtId="0" fontId="24" fillId="0" borderId="8" xfId="0" applyFont="1" applyBorder="1" applyAlignment="1" applyProtection="1">
      <alignment horizontal="center"/>
    </xf>
    <xf numFmtId="0" fontId="24" fillId="0" borderId="8" xfId="0" applyFont="1" applyBorder="1" applyAlignment="1" applyProtection="1">
      <alignment horizontal="justify"/>
    </xf>
    <xf numFmtId="0" fontId="25" fillId="0" borderId="8" xfId="0" applyFont="1" applyBorder="1" applyAlignment="1" applyProtection="1">
      <alignment horizontal="center"/>
    </xf>
    <xf numFmtId="0" fontId="25" fillId="0" borderId="0" xfId="0" applyFont="1" applyAlignment="1" applyProtection="1">
      <alignment horizontal="right" vertical="top"/>
    </xf>
    <xf numFmtId="4" fontId="25" fillId="0" borderId="0" xfId="0" applyNumberFormat="1" applyFont="1" applyAlignment="1" applyProtection="1">
      <alignment horizontal="right" vertical="top" wrapText="1"/>
    </xf>
    <xf numFmtId="0" fontId="21" fillId="0" borderId="0" xfId="15" applyFont="1" applyAlignment="1" applyProtection="1">
      <alignment vertical="top"/>
    </xf>
    <xf numFmtId="4" fontId="48" fillId="0" borderId="0" xfId="15" applyNumberFormat="1" applyFont="1" applyAlignment="1" applyProtection="1">
      <alignment vertical="top"/>
    </xf>
    <xf numFmtId="0" fontId="25" fillId="0" borderId="0" xfId="0" applyFont="1" applyAlignment="1" applyProtection="1">
      <alignment horizontal="right" wrapText="1"/>
    </xf>
    <xf numFmtId="49" fontId="40" fillId="0" borderId="0" xfId="0" applyNumberFormat="1" applyFont="1" applyAlignment="1">
      <alignment horizontal="justify" vertical="top" wrapText="1"/>
    </xf>
    <xf numFmtId="0" fontId="25" fillId="0" borderId="0" xfId="0" applyFont="1" applyAlignment="1">
      <alignment horizontal="justify" vertical="top" wrapText="1"/>
    </xf>
    <xf numFmtId="0" fontId="25" fillId="0" borderId="0" xfId="0" applyFont="1" applyAlignment="1">
      <alignment horizontal="right" vertical="top" wrapText="1"/>
    </xf>
    <xf numFmtId="0" fontId="25" fillId="0" borderId="0" xfId="0" applyFont="1" applyAlignment="1">
      <alignment horizontal="right" wrapText="1"/>
    </xf>
    <xf numFmtId="0" fontId="40" fillId="6" borderId="0" xfId="0" applyFont="1" applyFill="1" applyAlignment="1">
      <alignment vertical="top"/>
    </xf>
    <xf numFmtId="0" fontId="35" fillId="0" borderId="0" xfId="0" applyFont="1" applyAlignment="1">
      <alignment horizontal="left" vertical="top"/>
    </xf>
    <xf numFmtId="0" fontId="25" fillId="0" borderId="0" xfId="0" applyFont="1" applyAlignment="1">
      <alignment horizontal="center" vertical="top" wrapText="1"/>
    </xf>
    <xf numFmtId="0" fontId="40" fillId="0" borderId="9" xfId="0" applyFont="1" applyBorder="1" applyAlignment="1">
      <alignment horizontal="right" wrapText="1"/>
    </xf>
    <xf numFmtId="0" fontId="25" fillId="0" borderId="0" xfId="0" applyFont="1" applyFill="1" applyAlignment="1">
      <alignment horizontal="justify" vertical="top" wrapText="1"/>
    </xf>
    <xf numFmtId="0" fontId="25" fillId="0" borderId="0" xfId="0" applyFont="1" applyFill="1" applyAlignment="1">
      <alignment horizontal="center" vertical="top" wrapText="1"/>
    </xf>
    <xf numFmtId="49" fontId="25" fillId="0" borderId="0" xfId="0" applyNumberFormat="1" applyFont="1" applyFill="1" applyAlignment="1">
      <alignment horizontal="left" vertical="top" wrapText="1"/>
    </xf>
    <xf numFmtId="0" fontId="24" fillId="0" borderId="8" xfId="0" applyFont="1" applyBorder="1" applyAlignment="1">
      <alignment horizontal="left"/>
    </xf>
    <xf numFmtId="1" fontId="25" fillId="0" borderId="0" xfId="0" applyNumberFormat="1" applyFont="1" applyAlignment="1">
      <alignment vertical="top"/>
    </xf>
    <xf numFmtId="0" fontId="35" fillId="0" borderId="0" xfId="0" applyFont="1"/>
    <xf numFmtId="3" fontId="25" fillId="0" borderId="0" xfId="0" applyNumberFormat="1" applyFont="1" applyAlignment="1">
      <alignment horizontal="right" vertical="top"/>
    </xf>
    <xf numFmtId="0" fontId="25" fillId="0" borderId="0" xfId="0" applyFont="1" applyAlignment="1">
      <alignment horizontal="right" vertical="top"/>
    </xf>
    <xf numFmtId="0" fontId="40" fillId="0" borderId="0" xfId="0" applyFont="1" applyAlignment="1">
      <alignment vertical="center"/>
    </xf>
    <xf numFmtId="49" fontId="24" fillId="0" borderId="5" xfId="0" applyNumberFormat="1" applyFont="1" applyBorder="1" applyAlignment="1">
      <alignment horizontal="center" vertical="center"/>
    </xf>
    <xf numFmtId="39" fontId="24" fillId="0" borderId="5" xfId="0" applyNumberFormat="1" applyFont="1" applyBorder="1" applyAlignment="1">
      <alignment horizontal="left" vertical="center" wrapText="1"/>
    </xf>
    <xf numFmtId="39" fontId="24" fillId="0" borderId="5" xfId="0" applyNumberFormat="1" applyFont="1" applyBorder="1" applyAlignment="1">
      <alignment horizontal="center" vertical="center"/>
    </xf>
    <xf numFmtId="0" fontId="24" fillId="0" borderId="5" xfId="0" applyNumberFormat="1" applyFont="1" applyBorder="1" applyAlignment="1">
      <alignment horizontal="center" vertical="center"/>
    </xf>
    <xf numFmtId="49" fontId="25" fillId="0" borderId="0" xfId="0" applyNumberFormat="1" applyFont="1" applyBorder="1" applyAlignment="1">
      <alignment horizontal="left" vertical="top"/>
    </xf>
    <xf numFmtId="0" fontId="30" fillId="0" borderId="0" xfId="0" applyFont="1" applyBorder="1" applyAlignment="1">
      <alignment horizontal="center" vertical="center" wrapText="1"/>
    </xf>
    <xf numFmtId="0" fontId="30" fillId="0" borderId="0" xfId="0" applyFont="1" applyBorder="1" applyAlignment="1">
      <alignment horizontal="center" vertical="center"/>
    </xf>
    <xf numFmtId="0" fontId="31" fillId="0" borderId="0" xfId="0" applyFont="1" applyAlignment="1">
      <alignment horizontal="center" vertical="center"/>
    </xf>
    <xf numFmtId="0" fontId="32" fillId="0" borderId="0" xfId="0" applyFont="1" applyAlignment="1">
      <alignment horizontal="center" vertical="center"/>
    </xf>
    <xf numFmtId="49" fontId="33" fillId="0" borderId="0" xfId="0" applyNumberFormat="1" applyFont="1" applyAlignment="1">
      <alignment horizontal="left" vertical="top" wrapText="1"/>
    </xf>
    <xf numFmtId="0" fontId="33" fillId="0" borderId="0" xfId="0" applyFont="1" applyAlignment="1">
      <alignment horizontal="left" vertical="center" wrapText="1"/>
    </xf>
    <xf numFmtId="4" fontId="33" fillId="0" borderId="0" xfId="0" applyNumberFormat="1" applyFont="1" applyAlignment="1">
      <alignment horizontal="center" vertical="center"/>
    </xf>
    <xf numFmtId="0" fontId="33" fillId="0" borderId="0" xfId="0" applyFont="1" applyAlignment="1">
      <alignment horizontal="center" vertical="center"/>
    </xf>
    <xf numFmtId="49" fontId="34" fillId="0" borderId="0" xfId="0" applyNumberFormat="1" applyFont="1" applyAlignment="1">
      <alignment horizontal="left" vertical="top" wrapText="1"/>
    </xf>
    <xf numFmtId="0" fontId="34" fillId="0" borderId="0" xfId="0" applyFont="1" applyAlignment="1">
      <alignment horizontal="left" vertical="center" wrapText="1"/>
    </xf>
    <xf numFmtId="4" fontId="34" fillId="0" borderId="0" xfId="0" applyNumberFormat="1" applyFont="1" applyAlignment="1">
      <alignment horizontal="center" vertical="center"/>
    </xf>
    <xf numFmtId="0" fontId="34" fillId="0" borderId="0" xfId="0" applyFont="1" applyAlignment="1">
      <alignment horizontal="center" vertical="center"/>
    </xf>
    <xf numFmtId="49" fontId="33" fillId="0" borderId="0" xfId="0" applyNumberFormat="1" applyFont="1" applyAlignment="1">
      <alignment horizontal="left" vertical="top"/>
    </xf>
    <xf numFmtId="4" fontId="25" fillId="0" borderId="0" xfId="0" applyNumberFormat="1" applyFont="1" applyFill="1" applyBorder="1" applyAlignment="1">
      <alignment horizontal="center" vertical="center"/>
    </xf>
    <xf numFmtId="4" fontId="35" fillId="0" borderId="0" xfId="0" applyNumberFormat="1" applyFont="1" applyBorder="1" applyAlignment="1">
      <alignment horizontal="center" vertical="center" wrapText="1"/>
    </xf>
    <xf numFmtId="49" fontId="35" fillId="0" borderId="0" xfId="0" applyNumberFormat="1" applyFont="1" applyBorder="1" applyAlignment="1">
      <alignment horizontal="left" vertical="top"/>
    </xf>
    <xf numFmtId="0" fontId="35" fillId="0" borderId="0" xfId="0" applyFont="1" applyAlignment="1">
      <alignment horizontal="left" vertical="top" wrapText="1"/>
    </xf>
    <xf numFmtId="0" fontId="35" fillId="0" borderId="0" xfId="0" applyNumberFormat="1" applyFont="1" applyBorder="1" applyAlignment="1">
      <alignment horizontal="center" vertical="center"/>
    </xf>
    <xf numFmtId="4" fontId="30" fillId="0" borderId="0" xfId="0" applyNumberFormat="1" applyFont="1" applyBorder="1" applyAlignment="1">
      <alignment horizontal="center" vertical="center"/>
    </xf>
    <xf numFmtId="3" fontId="25" fillId="0" borderId="0" xfId="0" applyNumberFormat="1" applyFont="1" applyBorder="1" applyAlignment="1">
      <alignment horizontal="center" vertical="center"/>
    </xf>
    <xf numFmtId="49" fontId="30" fillId="0" borderId="0" xfId="0" applyNumberFormat="1" applyFont="1" applyBorder="1" applyAlignment="1">
      <alignment horizontal="left" vertical="top"/>
    </xf>
    <xf numFmtId="0" fontId="30" fillId="0" borderId="0" xfId="0" applyFont="1" applyAlignment="1">
      <alignment horizontal="left" vertical="top" wrapText="1"/>
    </xf>
    <xf numFmtId="4" fontId="41" fillId="0" borderId="0" xfId="0" applyNumberFormat="1" applyFont="1" applyBorder="1" applyAlignment="1">
      <alignment horizontal="center" vertical="center"/>
    </xf>
    <xf numFmtId="3" fontId="35" fillId="0" borderId="0" xfId="0" applyNumberFormat="1" applyFont="1" applyBorder="1" applyAlignment="1">
      <alignment horizontal="center" vertical="center"/>
    </xf>
    <xf numFmtId="49" fontId="35" fillId="0" borderId="0" xfId="0" applyNumberFormat="1" applyFont="1" applyBorder="1" applyAlignment="1">
      <alignment horizontal="left" vertical="top" wrapText="1"/>
    </xf>
    <xf numFmtId="49" fontId="24" fillId="0" borderId="0" xfId="0" applyNumberFormat="1" applyFont="1" applyBorder="1" applyAlignment="1">
      <alignment horizontal="left" vertical="top" wrapText="1"/>
    </xf>
    <xf numFmtId="0" fontId="30" fillId="0" borderId="0" xfId="0" applyNumberFormat="1" applyFont="1" applyBorder="1" applyAlignment="1">
      <alignment horizontal="center" vertical="center" wrapText="1"/>
    </xf>
    <xf numFmtId="0" fontId="30" fillId="0" borderId="0" xfId="0" applyNumberFormat="1" applyFont="1" applyBorder="1" applyAlignment="1">
      <alignment horizontal="center" vertical="center"/>
    </xf>
    <xf numFmtId="49" fontId="25" fillId="0" borderId="0" xfId="0" applyNumberFormat="1" applyFont="1" applyAlignment="1">
      <alignment horizontal="left" vertical="top"/>
    </xf>
    <xf numFmtId="4" fontId="38" fillId="0" borderId="0" xfId="0" applyNumberFormat="1" applyFont="1" applyAlignment="1">
      <alignment horizontal="center" vertical="center"/>
    </xf>
    <xf numFmtId="0" fontId="25" fillId="0" borderId="0" xfId="0" applyFont="1" applyAlignment="1">
      <alignment horizontal="center" vertical="center"/>
    </xf>
    <xf numFmtId="4" fontId="25" fillId="0" borderId="0" xfId="0" applyNumberFormat="1" applyFont="1" applyAlignment="1">
      <alignment horizontal="center" vertical="center"/>
    </xf>
    <xf numFmtId="49" fontId="35" fillId="0" borderId="0" xfId="0" applyNumberFormat="1" applyFont="1" applyAlignment="1">
      <alignment horizontal="left" vertical="top" wrapText="1"/>
    </xf>
    <xf numFmtId="49" fontId="25" fillId="0" borderId="0" xfId="0" applyNumberFormat="1" applyFont="1" applyFill="1" applyBorder="1" applyAlignment="1">
      <alignment horizontal="left" vertical="top"/>
    </xf>
    <xf numFmtId="0" fontId="25" fillId="0" borderId="0" xfId="0" applyNumberFormat="1" applyFont="1" applyFill="1" applyBorder="1" applyAlignment="1">
      <alignment horizontal="center" vertical="center"/>
    </xf>
    <xf numFmtId="49" fontId="38" fillId="0" borderId="0" xfId="0" applyNumberFormat="1" applyFont="1" applyBorder="1" applyAlignment="1">
      <alignment horizontal="left" vertical="top" wrapText="1"/>
    </xf>
    <xf numFmtId="0" fontId="41" fillId="0" borderId="0" xfId="0" applyFont="1" applyAlignment="1">
      <alignment horizontal="left" vertical="top" wrapText="1"/>
    </xf>
    <xf numFmtId="0" fontId="41" fillId="0" borderId="0" xfId="0" applyNumberFormat="1" applyFont="1" applyBorder="1" applyAlignment="1">
      <alignment horizontal="center" vertical="center" wrapText="1"/>
    </xf>
    <xf numFmtId="49" fontId="38" fillId="0" borderId="0" xfId="0" applyNumberFormat="1" applyFont="1" applyBorder="1" applyAlignment="1">
      <alignment horizontal="left" vertical="top"/>
    </xf>
    <xf numFmtId="0" fontId="38" fillId="0" borderId="0" xfId="0" applyFont="1" applyAlignment="1">
      <alignment horizontal="left" vertical="top" wrapText="1"/>
    </xf>
    <xf numFmtId="0" fontId="38" fillId="0" borderId="0" xfId="0" applyNumberFormat="1" applyFont="1" applyBorder="1" applyAlignment="1">
      <alignment horizontal="center" vertical="center"/>
    </xf>
    <xf numFmtId="49" fontId="45" fillId="0" borderId="0" xfId="0" applyNumberFormat="1" applyFont="1" applyBorder="1" applyAlignment="1">
      <alignment horizontal="left" vertical="top" wrapText="1"/>
    </xf>
    <xf numFmtId="4" fontId="41" fillId="0" borderId="0" xfId="0" applyNumberFormat="1" applyFont="1" applyAlignment="1">
      <alignment horizontal="center"/>
    </xf>
    <xf numFmtId="0" fontId="42" fillId="0" borderId="0" xfId="0" applyFont="1" applyAlignment="1">
      <alignment horizontal="center"/>
    </xf>
    <xf numFmtId="4" fontId="38" fillId="0" borderId="0" xfId="0" applyNumberFormat="1" applyFont="1" applyAlignment="1">
      <alignment horizontal="center"/>
    </xf>
    <xf numFmtId="0" fontId="37" fillId="0" borderId="0" xfId="0" applyFont="1" applyAlignment="1">
      <alignment horizontal="center"/>
    </xf>
    <xf numFmtId="49" fontId="43" fillId="0" borderId="0" xfId="0" applyNumberFormat="1" applyFont="1" applyAlignment="1">
      <alignment horizontal="left" vertical="top" wrapText="1"/>
    </xf>
    <xf numFmtId="4" fontId="43" fillId="0" borderId="0" xfId="0" applyNumberFormat="1" applyFont="1" applyAlignment="1">
      <alignment horizontal="center" vertical="center"/>
    </xf>
    <xf numFmtId="0" fontId="43" fillId="0" borderId="0" xfId="0" applyFont="1" applyAlignment="1">
      <alignment horizontal="center" vertical="center"/>
    </xf>
    <xf numFmtId="49" fontId="25" fillId="0" borderId="0" xfId="0" applyNumberFormat="1" applyFont="1" applyFill="1" applyBorder="1" applyAlignment="1">
      <alignment horizontal="left" vertical="top" wrapText="1"/>
    </xf>
    <xf numFmtId="4" fontId="38" fillId="0" borderId="0" xfId="0" applyNumberFormat="1" applyFont="1" applyFill="1" applyBorder="1" applyAlignment="1">
      <alignment horizontal="center" vertical="center"/>
    </xf>
    <xf numFmtId="49" fontId="24" fillId="0" borderId="0" xfId="0" applyNumberFormat="1" applyFont="1" applyFill="1" applyBorder="1" applyAlignment="1">
      <alignment horizontal="left" vertical="top"/>
    </xf>
    <xf numFmtId="0" fontId="24" fillId="0" borderId="0" xfId="0" applyFont="1" applyFill="1" applyBorder="1" applyAlignment="1">
      <alignment horizontal="center" vertical="center" wrapText="1"/>
    </xf>
    <xf numFmtId="0" fontId="24" fillId="0" borderId="0" xfId="0" applyNumberFormat="1" applyFont="1" applyFill="1" applyBorder="1" applyAlignment="1">
      <alignment horizontal="center" vertical="center" wrapText="1"/>
    </xf>
    <xf numFmtId="3" fontId="81" fillId="1" borderId="8" xfId="0" applyNumberFormat="1" applyFont="1" applyFill="1" applyBorder="1" applyAlignment="1" applyProtection="1">
      <alignment horizontal="right" wrapText="1"/>
      <protection locked="0"/>
    </xf>
    <xf numFmtId="0" fontId="57" fillId="1" borderId="25" xfId="0" applyFont="1" applyFill="1" applyBorder="1" applyAlignment="1" applyProtection="1">
      <alignment horizontal="right"/>
      <protection locked="0"/>
    </xf>
    <xf numFmtId="4" fontId="92" fillId="0" borderId="0" xfId="0" applyNumberFormat="1" applyFont="1" applyAlignment="1" applyProtection="1">
      <alignment horizontal="center"/>
      <protection locked="0"/>
    </xf>
    <xf numFmtId="4" fontId="80" fillId="1" borderId="8" xfId="0" applyNumberFormat="1" applyFont="1" applyFill="1" applyBorder="1" applyAlignment="1" applyProtection="1">
      <alignment horizontal="center" vertical="center" wrapText="1"/>
      <protection locked="0"/>
    </xf>
    <xf numFmtId="49" fontId="24" fillId="0" borderId="0" xfId="0" applyNumberFormat="1" applyFont="1" applyAlignment="1" applyProtection="1">
      <alignment horizontal="justify" vertical="top" wrapText="1"/>
    </xf>
    <xf numFmtId="0" fontId="24" fillId="0" borderId="0" xfId="0" applyFont="1" applyAlignment="1">
      <alignment horizontal="left" vertical="top"/>
    </xf>
    <xf numFmtId="49" fontId="24" fillId="0" borderId="0" xfId="0" applyNumberFormat="1" applyFont="1" applyAlignment="1">
      <alignment horizontal="justify" vertical="top" wrapText="1"/>
    </xf>
    <xf numFmtId="0" fontId="28" fillId="0" borderId="0" xfId="0" applyFont="1" applyAlignment="1">
      <alignment horizontal="left" vertical="top"/>
    </xf>
    <xf numFmtId="49" fontId="28" fillId="0" borderId="0" xfId="0" applyNumberFormat="1" applyFont="1" applyAlignment="1">
      <alignment horizontal="justify" vertical="top" wrapText="1"/>
    </xf>
    <xf numFmtId="0" fontId="111" fillId="0" borderId="0" xfId="0" applyFont="1" applyAlignment="1">
      <alignment horizontal="justify" vertical="top" wrapText="1"/>
    </xf>
    <xf numFmtId="0" fontId="111" fillId="0" borderId="0" xfId="0" applyFont="1" applyAlignment="1">
      <alignment horizontal="center" vertical="top"/>
    </xf>
    <xf numFmtId="2" fontId="111" fillId="0" borderId="0" xfId="0" applyNumberFormat="1" applyFont="1" applyAlignment="1">
      <alignment vertical="top"/>
    </xf>
    <xf numFmtId="0" fontId="26" fillId="0" borderId="0" xfId="0" applyFont="1" applyAlignment="1">
      <alignment horizontal="left" vertical="top"/>
    </xf>
    <xf numFmtId="49" fontId="26" fillId="0" borderId="0" xfId="0" applyNumberFormat="1" applyFont="1" applyAlignment="1">
      <alignment horizontal="left" vertical="top" wrapText="1"/>
    </xf>
    <xf numFmtId="0" fontId="26" fillId="0" borderId="0" xfId="0" applyFont="1" applyAlignment="1">
      <alignment horizontal="left" vertical="top" wrapText="1"/>
    </xf>
    <xf numFmtId="0" fontId="26" fillId="0" borderId="0" xfId="0" applyFont="1" applyAlignment="1">
      <alignment vertical="top"/>
    </xf>
    <xf numFmtId="0" fontId="111" fillId="5" borderId="10" xfId="0" applyFont="1" applyFill="1" applyBorder="1" applyAlignment="1">
      <alignment horizontal="left" vertical="top"/>
    </xf>
    <xf numFmtId="49" fontId="111" fillId="5" borderId="10" xfId="0" applyNumberFormat="1" applyFont="1" applyFill="1" applyBorder="1" applyAlignment="1">
      <alignment horizontal="justify" vertical="top" wrapText="1"/>
    </xf>
    <xf numFmtId="0" fontId="111" fillId="5" borderId="10" xfId="0" applyFont="1" applyFill="1" applyBorder="1" applyAlignment="1">
      <alignment horizontal="justify" vertical="top" wrapText="1"/>
    </xf>
    <xf numFmtId="0" fontId="111" fillId="5" borderId="10" xfId="0" applyFont="1" applyFill="1" applyBorder="1" applyAlignment="1">
      <alignment horizontal="center" vertical="top"/>
    </xf>
    <xf numFmtId="2" fontId="111" fillId="5" borderId="10" xfId="0" applyNumberFormat="1" applyFont="1" applyFill="1" applyBorder="1" applyAlignment="1">
      <alignment horizontal="center" vertical="top"/>
    </xf>
    <xf numFmtId="49" fontId="26" fillId="0" borderId="0" xfId="0" applyNumberFormat="1" applyFont="1" applyAlignment="1">
      <alignment vertical="top" wrapText="1"/>
    </xf>
    <xf numFmtId="0" fontId="26" fillId="0" borderId="0" xfId="0" applyFont="1" applyAlignment="1">
      <alignment vertical="top" wrapText="1"/>
    </xf>
    <xf numFmtId="49" fontId="26" fillId="0" borderId="0" xfId="0" applyNumberFormat="1" applyFont="1" applyAlignment="1">
      <alignment horizontal="justify" vertical="top" wrapText="1"/>
    </xf>
    <xf numFmtId="1" fontId="26" fillId="0" borderId="0" xfId="0" applyNumberFormat="1" applyFont="1" applyAlignment="1">
      <alignment vertical="top"/>
    </xf>
    <xf numFmtId="0" fontId="28" fillId="0" borderId="8" xfId="0" applyFont="1" applyBorder="1" applyAlignment="1">
      <alignment horizontal="left"/>
    </xf>
    <xf numFmtId="49" fontId="28" fillId="0" borderId="8" xfId="0" applyNumberFormat="1" applyFont="1" applyBorder="1" applyAlignment="1">
      <alignment horizontal="center"/>
    </xf>
    <xf numFmtId="0" fontId="28" fillId="0" borderId="8" xfId="0" applyFont="1" applyBorder="1" applyAlignment="1">
      <alignment horizontal="center"/>
    </xf>
    <xf numFmtId="0" fontId="28" fillId="0" borderId="8" xfId="0" applyFont="1" applyBorder="1" applyAlignment="1">
      <alignment horizontal="justify"/>
    </xf>
    <xf numFmtId="0" fontId="26" fillId="0" borderId="8" xfId="0" applyFont="1" applyBorder="1" applyAlignment="1">
      <alignment horizontal="center"/>
    </xf>
    <xf numFmtId="49" fontId="24" fillId="0" borderId="0" xfId="15" applyNumberFormat="1" applyFont="1" applyAlignment="1">
      <alignment horizontal="justify" vertical="top" wrapText="1"/>
    </xf>
    <xf numFmtId="4" fontId="74" fillId="0" borderId="0" xfId="17" applyNumberFormat="1" applyFont="1" applyFill="1" applyBorder="1" applyAlignment="1">
      <alignment horizontal="center"/>
    </xf>
    <xf numFmtId="4" fontId="74" fillId="0" borderId="0" xfId="17" applyNumberFormat="1" applyFont="1" applyFill="1" applyBorder="1" applyAlignment="1" applyProtection="1">
      <alignment horizontal="right"/>
      <protection locked="0"/>
    </xf>
    <xf numFmtId="0" fontId="112" fillId="0" borderId="0" xfId="17" applyFont="1" applyBorder="1"/>
    <xf numFmtId="0" fontId="112" fillId="0" borderId="0" xfId="17" applyFont="1" applyBorder="1" applyProtection="1">
      <protection locked="0"/>
    </xf>
    <xf numFmtId="43" fontId="24" fillId="0" borderId="5" xfId="29" applyFont="1" applyBorder="1" applyAlignment="1" applyProtection="1">
      <alignment horizontal="center" vertical="center" wrapText="1"/>
      <protection locked="0"/>
    </xf>
    <xf numFmtId="43" fontId="25" fillId="0" borderId="0" xfId="29" applyFont="1" applyBorder="1" applyAlignment="1" applyProtection="1">
      <alignment horizontal="center" vertical="center"/>
      <protection locked="0"/>
    </xf>
    <xf numFmtId="43" fontId="24" fillId="0" borderId="0" xfId="29" applyFont="1" applyBorder="1" applyAlignment="1" applyProtection="1">
      <alignment horizontal="center" vertical="center" wrapText="1"/>
      <protection locked="0"/>
    </xf>
    <xf numFmtId="43" fontId="24" fillId="0" borderId="0" xfId="29" applyFont="1" applyBorder="1" applyAlignment="1" applyProtection="1">
      <alignment horizontal="center" vertical="center"/>
      <protection locked="0"/>
    </xf>
    <xf numFmtId="43" fontId="25" fillId="0" borderId="5" xfId="29" applyFont="1" applyBorder="1" applyAlignment="1" applyProtection="1">
      <alignment horizontal="center" vertical="center"/>
      <protection locked="0"/>
    </xf>
    <xf numFmtId="43" fontId="25" fillId="0" borderId="15" xfId="29" applyFont="1" applyBorder="1" applyAlignment="1" applyProtection="1">
      <alignment horizontal="center" vertical="center"/>
      <protection locked="0"/>
    </xf>
    <xf numFmtId="43" fontId="29" fillId="0" borderId="0" xfId="29" applyFont="1" applyBorder="1" applyAlignment="1" applyProtection="1">
      <alignment horizontal="center" vertical="center"/>
      <protection locked="0"/>
    </xf>
    <xf numFmtId="43" fontId="29" fillId="0" borderId="0" xfId="29" applyFont="1" applyAlignment="1" applyProtection="1">
      <alignment horizontal="center"/>
      <protection locked="0"/>
    </xf>
    <xf numFmtId="43" fontId="35" fillId="0" borderId="0" xfId="29" applyFont="1" applyBorder="1" applyAlignment="1" applyProtection="1">
      <alignment horizontal="center" vertical="center"/>
      <protection locked="0"/>
    </xf>
    <xf numFmtId="43" fontId="37" fillId="0" borderId="0" xfId="29" applyFont="1" applyBorder="1" applyAlignment="1" applyProtection="1">
      <alignment horizontal="center" vertical="center"/>
      <protection locked="0"/>
    </xf>
    <xf numFmtId="43" fontId="32" fillId="0" borderId="0" xfId="29" applyFont="1" applyAlignment="1" applyProtection="1">
      <alignment horizontal="center" vertical="center"/>
      <protection locked="0"/>
    </xf>
    <xf numFmtId="43" fontId="33" fillId="0" borderId="0" xfId="29" applyFont="1" applyAlignment="1" applyProtection="1">
      <alignment horizontal="center" vertical="center"/>
      <protection locked="0"/>
    </xf>
    <xf numFmtId="43" fontId="34" fillId="0" borderId="0" xfId="29" applyFont="1" applyAlignment="1" applyProtection="1">
      <alignment horizontal="center" vertical="center"/>
      <protection locked="0"/>
    </xf>
    <xf numFmtId="43" fontId="25" fillId="0" borderId="0" xfId="29" applyFont="1" applyBorder="1" applyAlignment="1" applyProtection="1">
      <alignment horizontal="center" vertical="center" wrapText="1"/>
      <protection locked="0"/>
    </xf>
    <xf numFmtId="43" fontId="37" fillId="0" borderId="5" xfId="29" applyFont="1" applyBorder="1" applyAlignment="1" applyProtection="1">
      <alignment horizontal="center" vertical="center"/>
      <protection locked="0"/>
    </xf>
    <xf numFmtId="43" fontId="37" fillId="0" borderId="0" xfId="29" applyFont="1" applyAlignment="1" applyProtection="1">
      <alignment horizontal="center" vertical="center"/>
      <protection locked="0"/>
    </xf>
    <xf numFmtId="43" fontId="37" fillId="0" borderId="0" xfId="29" applyFont="1" applyFill="1" applyBorder="1" applyAlignment="1" applyProtection="1">
      <alignment horizontal="center" vertical="center"/>
      <protection locked="0"/>
    </xf>
    <xf numFmtId="43" fontId="41" fillId="0" borderId="0" xfId="29" applyFont="1" applyBorder="1" applyAlignment="1" applyProtection="1">
      <alignment horizontal="center" vertical="center" wrapText="1"/>
      <protection locked="0"/>
    </xf>
    <xf numFmtId="43" fontId="38" fillId="0" borderId="0" xfId="29" applyFont="1" applyBorder="1" applyAlignment="1" applyProtection="1">
      <alignment horizontal="center" vertical="center"/>
      <protection locked="0"/>
    </xf>
    <xf numFmtId="43" fontId="25" fillId="0" borderId="0" xfId="29" applyFont="1" applyAlignment="1" applyProtection="1">
      <alignment horizontal="center"/>
      <protection locked="0"/>
    </xf>
    <xf numFmtId="43" fontId="43" fillId="0" borderId="0" xfId="29" applyFont="1" applyBorder="1" applyAlignment="1" applyProtection="1">
      <alignment horizontal="center" vertical="center"/>
      <protection locked="0"/>
    </xf>
    <xf numFmtId="43" fontId="25" fillId="0" borderId="0" xfId="29" applyFont="1" applyFill="1" applyBorder="1" applyAlignment="1" applyProtection="1">
      <alignment horizontal="center" vertical="center"/>
      <protection locked="0"/>
    </xf>
    <xf numFmtId="43" fontId="25" fillId="0" borderId="5" xfId="29" applyFont="1" applyFill="1" applyBorder="1" applyAlignment="1" applyProtection="1">
      <alignment horizontal="center" vertical="center"/>
      <protection locked="0"/>
    </xf>
    <xf numFmtId="43" fontId="24" fillId="0" borderId="0" xfId="29" applyFont="1" applyFill="1" applyBorder="1" applyAlignment="1" applyProtection="1">
      <alignment horizontal="center" vertical="center" wrapText="1"/>
      <protection locked="0"/>
    </xf>
    <xf numFmtId="43" fontId="25" fillId="0" borderId="0" xfId="29" applyFont="1" applyBorder="1" applyAlignment="1" applyProtection="1">
      <alignment horizontal="center"/>
      <protection locked="0"/>
    </xf>
    <xf numFmtId="43" fontId="0" fillId="0" borderId="0" xfId="29" applyFont="1" applyProtection="1">
      <protection locked="0"/>
    </xf>
    <xf numFmtId="43" fontId="24" fillId="0" borderId="0" xfId="29" applyFont="1" applyBorder="1" applyAlignment="1" applyProtection="1">
      <alignment horizontal="left" vertical="top" wrapText="1"/>
      <protection locked="0"/>
    </xf>
    <xf numFmtId="43" fontId="25" fillId="0" borderId="0" xfId="29" applyFont="1" applyBorder="1" applyAlignment="1" applyProtection="1">
      <protection locked="0"/>
    </xf>
    <xf numFmtId="43" fontId="40" fillId="0" borderId="0" xfId="29" applyFont="1" applyAlignment="1" applyProtection="1">
      <alignment vertical="top"/>
      <protection locked="0"/>
    </xf>
    <xf numFmtId="43" fontId="25" fillId="0" borderId="0" xfId="29" applyFont="1" applyAlignment="1" applyProtection="1">
      <alignment vertical="top"/>
      <protection locked="0"/>
    </xf>
    <xf numFmtId="43" fontId="40" fillId="5" borderId="10" xfId="29" applyFont="1" applyFill="1" applyBorder="1" applyAlignment="1" applyProtection="1">
      <alignment horizontal="center" vertical="top"/>
      <protection locked="0"/>
    </xf>
    <xf numFmtId="43" fontId="25" fillId="0" borderId="0" xfId="29" applyFont="1" applyAlignment="1" applyProtection="1">
      <alignment horizontal="right" vertical="top"/>
      <protection locked="0"/>
    </xf>
    <xf numFmtId="43" fontId="25" fillId="0" borderId="9" xfId="29" applyFont="1" applyBorder="1" applyAlignment="1" applyProtection="1">
      <alignment horizontal="right" wrapText="1"/>
      <protection locked="0"/>
    </xf>
    <xf numFmtId="43" fontId="25" fillId="0" borderId="8" xfId="29" applyFont="1" applyBorder="1" applyProtection="1">
      <protection locked="0"/>
    </xf>
    <xf numFmtId="43" fontId="49" fillId="0" borderId="0" xfId="29" applyFont="1" applyAlignment="1" applyProtection="1">
      <alignment vertical="top"/>
      <protection locked="0"/>
    </xf>
    <xf numFmtId="43" fontId="53" fillId="0" borderId="0" xfId="29" applyFont="1" applyAlignment="1" applyProtection="1">
      <alignment vertical="top"/>
      <protection locked="0"/>
    </xf>
    <xf numFmtId="43" fontId="40" fillId="0" borderId="0" xfId="29" applyFont="1" applyBorder="1" applyAlignment="1" applyProtection="1">
      <alignment vertical="top"/>
      <protection locked="0"/>
    </xf>
    <xf numFmtId="43" fontId="25" fillId="0" borderId="0" xfId="29" applyFont="1" applyBorder="1" applyAlignment="1" applyProtection="1">
      <alignment horizontal="right" vertical="top"/>
      <protection locked="0"/>
    </xf>
    <xf numFmtId="43" fontId="40" fillId="5" borderId="0" xfId="29" applyFont="1" applyFill="1" applyBorder="1" applyAlignment="1" applyProtection="1">
      <alignment horizontal="center" vertical="top"/>
      <protection locked="0"/>
    </xf>
    <xf numFmtId="43" fontId="25" fillId="0" borderId="0" xfId="29" applyFont="1" applyBorder="1" applyAlignment="1" applyProtection="1">
      <alignment vertical="top"/>
      <protection locked="0"/>
    </xf>
    <xf numFmtId="43" fontId="25" fillId="0" borderId="15" xfId="29" applyFont="1" applyBorder="1" applyAlignment="1" applyProtection="1">
      <alignment vertical="top"/>
      <protection locked="0"/>
    </xf>
    <xf numFmtId="43" fontId="25" fillId="0" borderId="0" xfId="29" applyFont="1" applyBorder="1" applyAlignment="1" applyProtection="1">
      <alignment horizontal="right" wrapText="1"/>
      <protection locked="0"/>
    </xf>
    <xf numFmtId="43" fontId="25" fillId="0" borderId="0" xfId="29" applyFont="1" applyBorder="1" applyProtection="1">
      <protection locked="0"/>
    </xf>
    <xf numFmtId="43" fontId="40" fillId="0" borderId="0" xfId="29" applyFont="1" applyBorder="1" applyAlignment="1" applyProtection="1">
      <alignment horizontal="right"/>
      <protection locked="0"/>
    </xf>
    <xf numFmtId="43" fontId="25" fillId="0" borderId="9" xfId="29" applyFont="1" applyBorder="1" applyAlignment="1" applyProtection="1">
      <alignment horizontal="right"/>
      <protection locked="0"/>
    </xf>
    <xf numFmtId="43" fontId="49" fillId="0" borderId="8" xfId="29" applyFont="1" applyBorder="1" applyProtection="1">
      <protection locked="0"/>
    </xf>
    <xf numFmtId="43" fontId="25" fillId="0" borderId="0" xfId="29" applyFont="1" applyFill="1" applyAlignment="1" applyProtection="1">
      <alignment vertical="top"/>
      <protection locked="0"/>
    </xf>
    <xf numFmtId="43" fontId="25" fillId="0" borderId="0" xfId="29" applyFont="1" applyAlignment="1" applyProtection="1">
      <alignment horizontal="right" wrapText="1"/>
      <protection locked="0"/>
    </xf>
    <xf numFmtId="43" fontId="40" fillId="0" borderId="9" xfId="29" applyFont="1" applyBorder="1" applyAlignment="1" applyProtection="1">
      <alignment horizontal="right"/>
      <protection locked="0"/>
    </xf>
    <xf numFmtId="43" fontId="25" fillId="0" borderId="0" xfId="29" applyFont="1" applyAlignment="1" applyProtection="1">
      <alignment horizontal="right"/>
      <protection locked="0"/>
    </xf>
    <xf numFmtId="43" fontId="111" fillId="0" borderId="0" xfId="29" applyFont="1" applyAlignment="1" applyProtection="1">
      <alignment vertical="top"/>
      <protection locked="0"/>
    </xf>
    <xf numFmtId="43" fontId="26" fillId="0" borderId="0" xfId="29" applyFont="1" applyAlignment="1" applyProtection="1">
      <alignment horizontal="right" vertical="top"/>
      <protection locked="0"/>
    </xf>
    <xf numFmtId="43" fontId="111" fillId="5" borderId="10" xfId="29" applyFont="1" applyFill="1" applyBorder="1" applyAlignment="1" applyProtection="1">
      <alignment horizontal="center" vertical="top"/>
      <protection locked="0"/>
    </xf>
    <xf numFmtId="43" fontId="26" fillId="0" borderId="0" xfId="29" applyFont="1" applyAlignment="1" applyProtection="1">
      <alignment vertical="top"/>
      <protection locked="0"/>
    </xf>
    <xf numFmtId="43" fontId="26" fillId="0" borderId="8" xfId="29" applyFont="1" applyBorder="1" applyProtection="1">
      <protection locked="0"/>
    </xf>
    <xf numFmtId="43" fontId="39" fillId="0" borderId="0" xfId="29" applyFont="1" applyAlignment="1" applyProtection="1">
      <alignment vertical="top"/>
      <protection locked="0"/>
    </xf>
    <xf numFmtId="175" fontId="6" fillId="0" borderId="0" xfId="29" applyNumberFormat="1" applyFont="1" applyAlignment="1">
      <alignment horizontal="right"/>
    </xf>
    <xf numFmtId="175" fontId="10" fillId="0" borderId="0" xfId="29" applyNumberFormat="1" applyFont="1" applyAlignment="1">
      <alignment horizontal="right"/>
    </xf>
    <xf numFmtId="175" fontId="5" fillId="0" borderId="0" xfId="29" applyNumberFormat="1" applyFont="1"/>
    <xf numFmtId="175" fontId="0" fillId="0" borderId="0" xfId="29" applyNumberFormat="1" applyFont="1"/>
    <xf numFmtId="175" fontId="7" fillId="0" borderId="0" xfId="29" applyNumberFormat="1" applyFont="1"/>
    <xf numFmtId="175" fontId="11" fillId="0" borderId="0" xfId="29" applyNumberFormat="1" applyFont="1"/>
    <xf numFmtId="0" fontId="0" fillId="0" borderId="0" xfId="0" applyFont="1"/>
    <xf numFmtId="175" fontId="11" fillId="0" borderId="0" xfId="29" applyNumberFormat="1" applyFont="1" applyAlignment="1">
      <alignment horizontal="right"/>
    </xf>
    <xf numFmtId="175" fontId="12" fillId="0" borderId="0" xfId="29" applyNumberFormat="1" applyFont="1" applyAlignment="1">
      <alignment horizontal="left"/>
    </xf>
    <xf numFmtId="175" fontId="0" fillId="0" borderId="0" xfId="29" applyNumberFormat="1" applyFont="1" applyAlignment="1">
      <alignment horizontal="left"/>
    </xf>
    <xf numFmtId="175" fontId="6" fillId="0" borderId="0" xfId="29" applyNumberFormat="1" applyFont="1"/>
    <xf numFmtId="175" fontId="7" fillId="0" borderId="1" xfId="29" applyNumberFormat="1" applyFont="1" applyBorder="1"/>
    <xf numFmtId="175" fontId="7" fillId="0" borderId="2" xfId="29" applyNumberFormat="1" applyFont="1" applyFill="1" applyBorder="1"/>
    <xf numFmtId="175" fontId="5" fillId="0" borderId="0" xfId="29" applyNumberFormat="1" applyFont="1" applyAlignment="1">
      <alignment horizontal="left"/>
    </xf>
    <xf numFmtId="175" fontId="5" fillId="0" borderId="0" xfId="29" applyNumberFormat="1" applyFont="1" applyAlignment="1">
      <alignment horizontal="left" wrapText="1"/>
    </xf>
    <xf numFmtId="175" fontId="24" fillId="0" borderId="4" xfId="29" applyNumberFormat="1" applyFont="1" applyBorder="1" applyAlignment="1">
      <alignment horizontal="right" vertical="center"/>
    </xf>
    <xf numFmtId="175" fontId="25" fillId="0" borderId="0" xfId="29" applyNumberFormat="1" applyFont="1" applyBorder="1"/>
    <xf numFmtId="175" fontId="25" fillId="0" borderId="0" xfId="29" applyNumberFormat="1" applyFont="1" applyBorder="1" applyAlignment="1">
      <alignment vertical="center"/>
    </xf>
    <xf numFmtId="175" fontId="24" fillId="0" borderId="4" xfId="29" applyNumberFormat="1" applyFont="1" applyBorder="1" applyAlignment="1">
      <alignment vertical="center"/>
    </xf>
    <xf numFmtId="175" fontId="26" fillId="0" borderId="0" xfId="29" applyNumberFormat="1" applyFont="1" applyBorder="1"/>
    <xf numFmtId="175" fontId="27" fillId="0" borderId="0" xfId="29" applyNumberFormat="1" applyFont="1" applyBorder="1" applyAlignment="1">
      <alignment vertical="center"/>
    </xf>
    <xf numFmtId="175" fontId="28" fillId="0" borderId="4" xfId="29" applyNumberFormat="1" applyFont="1" applyBorder="1" applyAlignment="1">
      <alignment vertical="center"/>
    </xf>
    <xf numFmtId="175" fontId="29" fillId="0" borderId="0" xfId="29" applyNumberFormat="1" applyFont="1" applyBorder="1"/>
    <xf numFmtId="175" fontId="29" fillId="0" borderId="0" xfId="7" applyNumberFormat="1" applyFont="1" applyBorder="1"/>
    <xf numFmtId="175" fontId="29" fillId="0" borderId="0" xfId="6" applyNumberFormat="1" applyFont="1" applyBorder="1"/>
    <xf numFmtId="175" fontId="29" fillId="0" borderId="0" xfId="6" applyNumberFormat="1" applyFont="1"/>
    <xf numFmtId="175" fontId="29" fillId="0" borderId="6" xfId="6" applyNumberFormat="1" applyFont="1" applyBorder="1"/>
    <xf numFmtId="175" fontId="73" fillId="0" borderId="5" xfId="29" applyNumberFormat="1" applyFont="1" applyBorder="1" applyAlignment="1">
      <alignment horizontal="right" vertical="center"/>
    </xf>
    <xf numFmtId="175" fontId="72" fillId="0" borderId="0" xfId="29" applyNumberFormat="1" applyFont="1" applyAlignment="1">
      <alignment horizontal="right" vertical="center"/>
    </xf>
    <xf numFmtId="175" fontId="73" fillId="0" borderId="0" xfId="29" applyNumberFormat="1" applyFont="1" applyAlignment="1">
      <alignment horizontal="right" vertical="center" wrapText="1"/>
    </xf>
    <xf numFmtId="175" fontId="73" fillId="0" borderId="0" xfId="29" applyNumberFormat="1" applyFont="1" applyAlignment="1">
      <alignment horizontal="right" vertical="center"/>
    </xf>
    <xf numFmtId="175" fontId="72" fillId="0" borderId="5" xfId="29" applyNumberFormat="1" applyFont="1" applyBorder="1" applyAlignment="1">
      <alignment horizontal="right" vertical="center"/>
    </xf>
    <xf numFmtId="175" fontId="107" fillId="0" borderId="0" xfId="29" applyNumberFormat="1" applyFont="1" applyAlignment="1">
      <alignment horizontal="right" vertical="center"/>
    </xf>
    <xf numFmtId="175" fontId="108" fillId="0" borderId="0" xfId="29" applyNumberFormat="1" applyFont="1" applyAlignment="1">
      <alignment horizontal="right" vertical="center"/>
    </xf>
    <xf numFmtId="175" fontId="72" fillId="0" borderId="0" xfId="29" applyNumberFormat="1" applyFont="1" applyAlignment="1">
      <alignment horizontal="right" vertical="center" wrapText="1"/>
    </xf>
    <xf numFmtId="175" fontId="73" fillId="0" borderId="5" xfId="29" applyNumberFormat="1" applyFont="1" applyBorder="1" applyAlignment="1">
      <alignment horizontal="right" vertical="center" wrapText="1"/>
    </xf>
    <xf numFmtId="175" fontId="109" fillId="0" borderId="0" xfId="29" applyNumberFormat="1" applyFont="1" applyAlignment="1">
      <alignment horizontal="right" vertical="center"/>
    </xf>
    <xf numFmtId="175" fontId="72" fillId="0" borderId="0" xfId="29" applyNumberFormat="1" applyFont="1" applyAlignment="1">
      <alignment horizontal="right"/>
    </xf>
    <xf numFmtId="175" fontId="25" fillId="0" borderId="0" xfId="29" applyNumberFormat="1" applyFont="1" applyAlignment="1">
      <alignment horizontal="right" vertical="center"/>
    </xf>
    <xf numFmtId="175" fontId="24" fillId="0" borderId="0" xfId="29" applyNumberFormat="1" applyFont="1" applyAlignment="1">
      <alignment horizontal="right" vertical="center"/>
    </xf>
    <xf numFmtId="175" fontId="5" fillId="0" borderId="0" xfId="0" applyNumberFormat="1" applyFont="1" applyFill="1" applyAlignment="1">
      <alignment horizontal="right"/>
    </xf>
    <xf numFmtId="175" fontId="5" fillId="0" borderId="0" xfId="0" applyNumberFormat="1" applyFont="1" applyFill="1"/>
    <xf numFmtId="175" fontId="14" fillId="0" borderId="0" xfId="0" applyNumberFormat="1" applyFont="1" applyFill="1" applyAlignment="1">
      <alignment horizontal="right"/>
    </xf>
    <xf numFmtId="175" fontId="14" fillId="0" borderId="2" xfId="0" applyNumberFormat="1" applyFont="1" applyFill="1" applyBorder="1" applyAlignment="1">
      <alignment horizontal="right"/>
    </xf>
    <xf numFmtId="175" fontId="5" fillId="0" borderId="0" xfId="0" applyNumberFormat="1" applyFont="1" applyFill="1" applyAlignment="1">
      <alignment horizontal="center"/>
    </xf>
    <xf numFmtId="175" fontId="7" fillId="0" borderId="0" xfId="0" applyNumberFormat="1" applyFont="1" applyFill="1"/>
    <xf numFmtId="175" fontId="17" fillId="0" borderId="0" xfId="0" applyNumberFormat="1" applyFont="1" applyFill="1"/>
    <xf numFmtId="175" fontId="14" fillId="0" borderId="0" xfId="0" applyNumberFormat="1" applyFont="1" applyFill="1"/>
    <xf numFmtId="175" fontId="14" fillId="0" borderId="2" xfId="0" applyNumberFormat="1" applyFont="1" applyFill="1" applyBorder="1"/>
    <xf numFmtId="175" fontId="18" fillId="0" borderId="0" xfId="0" applyNumberFormat="1" applyFont="1" applyFill="1"/>
    <xf numFmtId="175" fontId="19" fillId="0" borderId="0" xfId="0" applyNumberFormat="1" applyFont="1" applyFill="1"/>
    <xf numFmtId="175" fontId="0" fillId="0" borderId="0" xfId="0" applyNumberFormat="1" applyFill="1"/>
    <xf numFmtId="175" fontId="24" fillId="0" borderId="5" xfId="29" applyNumberFormat="1" applyFont="1" applyBorder="1" applyAlignment="1">
      <alignment horizontal="center" vertical="center"/>
    </xf>
    <xf numFmtId="175" fontId="24" fillId="0" borderId="0" xfId="29" applyNumberFormat="1" applyFont="1" applyAlignment="1">
      <alignment horizontal="right" vertical="center" wrapText="1"/>
    </xf>
    <xf numFmtId="175" fontId="25" fillId="0" borderId="5" xfId="29" applyNumberFormat="1" applyFont="1" applyBorder="1" applyAlignment="1">
      <alignment horizontal="right" vertical="center"/>
    </xf>
    <xf numFmtId="175" fontId="24" fillId="0" borderId="5" xfId="29" applyNumberFormat="1" applyFont="1" applyBorder="1" applyAlignment="1">
      <alignment horizontal="right" vertical="center"/>
    </xf>
    <xf numFmtId="175" fontId="25" fillId="0" borderId="15" xfId="29" applyNumberFormat="1" applyFont="1" applyBorder="1" applyAlignment="1">
      <alignment horizontal="right" vertical="center"/>
    </xf>
    <xf numFmtId="175" fontId="24" fillId="0" borderId="15" xfId="29" applyNumberFormat="1" applyFont="1" applyBorder="1" applyAlignment="1">
      <alignment horizontal="right" vertical="center"/>
    </xf>
    <xf numFmtId="175" fontId="29" fillId="0" borderId="0" xfId="29" applyNumberFormat="1" applyFont="1" applyAlignment="1">
      <alignment horizontal="right" vertical="center"/>
    </xf>
    <xf numFmtId="175" fontId="24" fillId="0" borderId="13" xfId="29" applyNumberFormat="1" applyFont="1" applyBorder="1" applyAlignment="1">
      <alignment horizontal="right" vertical="center"/>
    </xf>
    <xf numFmtId="175" fontId="25" fillId="0" borderId="14" xfId="29" applyNumberFormat="1" applyFont="1" applyBorder="1"/>
    <xf numFmtId="175" fontId="25" fillId="0" borderId="22" xfId="29" applyNumberFormat="1" applyFont="1" applyBorder="1" applyAlignment="1">
      <alignment vertical="center"/>
    </xf>
    <xf numFmtId="175" fontId="24" fillId="0" borderId="14" xfId="29" applyNumberFormat="1" applyFont="1" applyBorder="1" applyAlignment="1">
      <alignment horizontal="right" vertical="center" wrapText="1"/>
    </xf>
    <xf numFmtId="175" fontId="25" fillId="0" borderId="13" xfId="29" applyNumberFormat="1" applyFont="1" applyBorder="1" applyAlignment="1">
      <alignment vertical="center"/>
    </xf>
    <xf numFmtId="175" fontId="24" fillId="0" borderId="12" xfId="29" applyNumberFormat="1" applyFont="1" applyBorder="1" applyAlignment="1">
      <alignment vertical="center"/>
    </xf>
    <xf numFmtId="175" fontId="24" fillId="0" borderId="0" xfId="29" applyNumberFormat="1" applyFont="1" applyBorder="1" applyAlignment="1">
      <alignment horizontal="center" vertical="center"/>
    </xf>
    <xf numFmtId="175" fontId="25" fillId="0" borderId="0" xfId="29" applyNumberFormat="1" applyFont="1" applyBorder="1" applyAlignment="1">
      <alignment horizontal="right" vertical="center"/>
    </xf>
    <xf numFmtId="175" fontId="24" fillId="0" borderId="0" xfId="29" applyNumberFormat="1" applyFont="1" applyBorder="1" applyAlignment="1">
      <alignment horizontal="right" vertical="center" wrapText="1"/>
    </xf>
    <xf numFmtId="175" fontId="24" fillId="0" borderId="0" xfId="29" applyNumberFormat="1" applyFont="1" applyBorder="1" applyAlignment="1">
      <alignment horizontal="right" vertical="center"/>
    </xf>
    <xf numFmtId="49" fontId="110" fillId="0" borderId="13" xfId="0" applyNumberFormat="1" applyFont="1" applyBorder="1" applyAlignment="1">
      <alignment horizontal="center" vertical="center"/>
    </xf>
    <xf numFmtId="39" fontId="110" fillId="0" borderId="13" xfId="0" applyNumberFormat="1" applyFont="1" applyBorder="1" applyAlignment="1">
      <alignment horizontal="left" vertical="center" wrapText="1"/>
    </xf>
    <xf numFmtId="175" fontId="24" fillId="0" borderId="13" xfId="0" applyNumberFormat="1" applyFont="1" applyBorder="1" applyAlignment="1">
      <alignment horizontal="right" vertical="center"/>
    </xf>
    <xf numFmtId="175" fontId="5" fillId="0" borderId="0" xfId="0" applyNumberFormat="1" applyFont="1"/>
    <xf numFmtId="175" fontId="14" fillId="0" borderId="0" xfId="0" applyNumberFormat="1" applyFont="1"/>
    <xf numFmtId="175" fontId="0" fillId="0" borderId="0" xfId="0" applyNumberFormat="1"/>
    <xf numFmtId="175" fontId="110" fillId="0" borderId="13" xfId="29" applyNumberFormat="1" applyFont="1" applyBorder="1" applyAlignment="1">
      <alignment horizontal="right" vertical="center"/>
    </xf>
    <xf numFmtId="49" fontId="27" fillId="0" borderId="0" xfId="0" applyNumberFormat="1" applyFont="1" applyBorder="1" applyAlignment="1">
      <alignment horizontal="center"/>
    </xf>
    <xf numFmtId="0" fontId="27" fillId="0" borderId="0" xfId="0" applyFont="1" applyBorder="1" applyAlignment="1">
      <alignment horizontal="left" vertical="top" wrapText="1"/>
    </xf>
    <xf numFmtId="175" fontId="27" fillId="0" borderId="0" xfId="29" applyNumberFormat="1" applyFont="1" applyBorder="1"/>
    <xf numFmtId="49" fontId="110" fillId="0" borderId="14" xfId="6" applyNumberFormat="1" applyFont="1" applyBorder="1" applyAlignment="1">
      <alignment horizontal="center" vertical="center"/>
    </xf>
    <xf numFmtId="0" fontId="110" fillId="0" borderId="14" xfId="6" applyFont="1" applyBorder="1" applyAlignment="1">
      <alignment horizontal="left" vertical="center" wrapText="1"/>
    </xf>
    <xf numFmtId="175" fontId="27" fillId="0" borderId="14" xfId="29" applyNumberFormat="1" applyFont="1" applyBorder="1"/>
    <xf numFmtId="49" fontId="27" fillId="0" borderId="0" xfId="6" applyNumberFormat="1" applyFont="1" applyBorder="1" applyAlignment="1">
      <alignment horizontal="center" vertical="center"/>
    </xf>
    <xf numFmtId="0" fontId="27" fillId="0" borderId="0" xfId="6" applyFont="1" applyBorder="1" applyAlignment="1">
      <alignment horizontal="left" vertical="center" wrapText="1"/>
    </xf>
    <xf numFmtId="49" fontId="27" fillId="0" borderId="14" xfId="6" applyNumberFormat="1" applyFont="1" applyBorder="1"/>
    <xf numFmtId="175" fontId="110" fillId="0" borderId="14" xfId="29" applyNumberFormat="1" applyFont="1" applyBorder="1" applyAlignment="1">
      <alignment vertical="center"/>
    </xf>
    <xf numFmtId="0" fontId="27" fillId="0" borderId="13" xfId="0" applyFont="1" applyBorder="1"/>
    <xf numFmtId="0" fontId="27" fillId="0" borderId="13" xfId="0" applyFont="1" applyBorder="1" applyAlignment="1">
      <alignment horizontal="left" vertical="center"/>
    </xf>
    <xf numFmtId="175" fontId="27" fillId="0" borderId="13" xfId="29" applyNumberFormat="1" applyFont="1" applyBorder="1" applyAlignment="1">
      <alignment vertical="center"/>
    </xf>
    <xf numFmtId="0" fontId="27" fillId="0" borderId="12" xfId="0" applyFont="1" applyBorder="1"/>
    <xf numFmtId="0" fontId="110" fillId="0" borderId="12" xfId="0" applyFont="1" applyBorder="1" applyAlignment="1">
      <alignment horizontal="left" vertical="center"/>
    </xf>
    <xf numFmtId="175" fontId="110" fillId="0" borderId="12" xfId="29" applyNumberFormat="1" applyFont="1" applyBorder="1" applyAlignment="1">
      <alignment vertical="center"/>
    </xf>
    <xf numFmtId="175" fontId="24" fillId="0" borderId="15" xfId="29" applyNumberFormat="1" applyFont="1" applyBorder="1" applyAlignment="1">
      <alignment horizontal="right" vertical="center" wrapText="1"/>
    </xf>
    <xf numFmtId="175" fontId="25" fillId="0" borderId="0" xfId="29" applyNumberFormat="1" applyFont="1" applyBorder="1" applyAlignment="1">
      <alignment horizontal="right" vertical="center" wrapText="1"/>
    </xf>
    <xf numFmtId="175" fontId="24" fillId="0" borderId="0" xfId="29" applyNumberFormat="1" applyFont="1" applyBorder="1" applyAlignment="1">
      <alignment horizontal="left" vertical="top" wrapText="1"/>
    </xf>
    <xf numFmtId="175" fontId="25" fillId="0" borderId="0" xfId="29" applyNumberFormat="1" applyFont="1" applyBorder="1" applyAlignment="1">
      <alignment horizontal="right"/>
    </xf>
    <xf numFmtId="175" fontId="39" fillId="0" borderId="0" xfId="29" applyNumberFormat="1" applyFont="1" applyBorder="1" applyAlignment="1">
      <alignment horizontal="right" vertical="center"/>
    </xf>
    <xf numFmtId="175" fontId="25" fillId="0" borderId="0" xfId="29" applyNumberFormat="1" applyFont="1"/>
    <xf numFmtId="175" fontId="25" fillId="0" borderId="0" xfId="29" applyNumberFormat="1" applyFont="1" applyFill="1"/>
    <xf numFmtId="175" fontId="24" fillId="0" borderId="0" xfId="29" applyNumberFormat="1" applyFont="1" applyFill="1"/>
    <xf numFmtId="175" fontId="24" fillId="0" borderId="0" xfId="29" applyNumberFormat="1" applyFont="1"/>
    <xf numFmtId="175" fontId="102" fillId="0" borderId="0" xfId="29" applyNumberFormat="1" applyFont="1"/>
    <xf numFmtId="175" fontId="50" fillId="0" borderId="0" xfId="29" applyNumberFormat="1" applyFont="1"/>
    <xf numFmtId="175" fontId="49" fillId="0" borderId="0" xfId="29" applyNumberFormat="1" applyFont="1"/>
    <xf numFmtId="175" fontId="40" fillId="0" borderId="0" xfId="29" applyNumberFormat="1" applyFont="1" applyAlignment="1">
      <alignment vertical="top"/>
    </xf>
    <xf numFmtId="175" fontId="25" fillId="0" borderId="0" xfId="29" applyNumberFormat="1" applyFont="1" applyAlignment="1">
      <alignment vertical="top"/>
    </xf>
    <xf numFmtId="175" fontId="40" fillId="5" borderId="10" xfId="29" applyNumberFormat="1" applyFont="1" applyFill="1" applyBorder="1" applyAlignment="1">
      <alignment horizontal="center" vertical="top"/>
    </xf>
    <xf numFmtId="175" fontId="25" fillId="0" borderId="9" xfId="29" applyNumberFormat="1" applyFont="1" applyBorder="1" applyAlignment="1">
      <alignment horizontal="right"/>
    </xf>
    <xf numFmtId="175" fontId="25" fillId="0" borderId="0" xfId="29" applyNumberFormat="1" applyFont="1" applyAlignment="1">
      <alignment horizontal="right" vertical="top"/>
    </xf>
    <xf numFmtId="175" fontId="24" fillId="0" borderId="8" xfId="29" applyNumberFormat="1" applyFont="1" applyBorder="1" applyAlignment="1">
      <alignment vertical="center"/>
    </xf>
    <xf numFmtId="175" fontId="49" fillId="0" borderId="0" xfId="29" applyNumberFormat="1" applyFont="1" applyAlignment="1">
      <alignment vertical="top"/>
    </xf>
    <xf numFmtId="175" fontId="53" fillId="0" borderId="0" xfId="29" applyNumberFormat="1" applyFont="1" applyAlignment="1">
      <alignment vertical="top"/>
    </xf>
    <xf numFmtId="175" fontId="40" fillId="0" borderId="0" xfId="29" applyNumberFormat="1" applyFont="1" applyBorder="1" applyAlignment="1">
      <alignment vertical="top"/>
    </xf>
    <xf numFmtId="175" fontId="25" fillId="0" borderId="0" xfId="29" applyNumberFormat="1" applyFont="1" applyBorder="1" applyAlignment="1">
      <alignment horizontal="right" vertical="top"/>
    </xf>
    <xf numFmtId="175" fontId="40" fillId="5" borderId="0" xfId="29" applyNumberFormat="1" applyFont="1" applyFill="1" applyBorder="1" applyAlignment="1">
      <alignment horizontal="center" vertical="top"/>
    </xf>
    <xf numFmtId="175" fontId="25" fillId="0" borderId="0" xfId="29" applyNumberFormat="1" applyFont="1" applyBorder="1" applyAlignment="1">
      <alignment vertical="top"/>
    </xf>
    <xf numFmtId="175" fontId="24" fillId="0" borderId="0" xfId="29" applyNumberFormat="1" applyFont="1" applyBorder="1"/>
    <xf numFmtId="175" fontId="40" fillId="0" borderId="0" xfId="29" applyNumberFormat="1" applyFont="1" applyAlignment="1" applyProtection="1">
      <alignment vertical="top"/>
    </xf>
    <xf numFmtId="175" fontId="25" fillId="0" borderId="0" xfId="29" applyNumberFormat="1" applyFont="1" applyAlignment="1" applyProtection="1">
      <alignment vertical="top"/>
    </xf>
    <xf numFmtId="175" fontId="40" fillId="5" borderId="10" xfId="29" applyNumberFormat="1" applyFont="1" applyFill="1" applyBorder="1" applyAlignment="1" applyProtection="1">
      <alignment horizontal="center" vertical="top"/>
    </xf>
    <xf numFmtId="175" fontId="25" fillId="0" borderId="0" xfId="29" applyNumberFormat="1" applyFont="1" applyAlignment="1" applyProtection="1">
      <alignment horizontal="right" vertical="top"/>
    </xf>
    <xf numFmtId="175" fontId="25" fillId="0" borderId="9" xfId="29" applyNumberFormat="1" applyFont="1" applyBorder="1" applyAlignment="1" applyProtection="1">
      <alignment horizontal="right"/>
    </xf>
    <xf numFmtId="175" fontId="25" fillId="0" borderId="0" xfId="29" applyNumberFormat="1" applyFont="1" applyFill="1" applyAlignment="1" applyProtection="1">
      <alignment horizontal="right" vertical="top"/>
    </xf>
    <xf numFmtId="175" fontId="52" fillId="0" borderId="8" xfId="29" applyNumberFormat="1" applyFont="1" applyBorder="1" applyAlignment="1" applyProtection="1">
      <alignment vertical="center"/>
    </xf>
    <xf numFmtId="175" fontId="49" fillId="0" borderId="0" xfId="29" applyNumberFormat="1" applyFont="1" applyAlignment="1" applyProtection="1">
      <alignment vertical="top"/>
    </xf>
    <xf numFmtId="175" fontId="53" fillId="0" borderId="0" xfId="29" applyNumberFormat="1" applyFont="1" applyAlignment="1" applyProtection="1">
      <alignment vertical="top"/>
    </xf>
    <xf numFmtId="175" fontId="24" fillId="0" borderId="8" xfId="29" applyNumberFormat="1" applyFont="1" applyBorder="1" applyProtection="1"/>
    <xf numFmtId="175" fontId="25" fillId="0" borderId="0" xfId="29" applyNumberFormat="1" applyFont="1" applyAlignment="1">
      <alignment horizontal="right" wrapText="1"/>
    </xf>
    <xf numFmtId="175" fontId="35" fillId="0" borderId="0" xfId="29" applyNumberFormat="1" applyFont="1" applyAlignment="1">
      <alignment vertical="top"/>
    </xf>
    <xf numFmtId="175" fontId="40" fillId="0" borderId="9" xfId="29" applyNumberFormat="1" applyFont="1" applyBorder="1" applyAlignment="1">
      <alignment horizontal="right"/>
    </xf>
    <xf numFmtId="175" fontId="24" fillId="0" borderId="8" xfId="29" applyNumberFormat="1" applyFont="1" applyBorder="1"/>
    <xf numFmtId="175" fontId="111" fillId="0" borderId="0" xfId="29" applyNumberFormat="1" applyFont="1" applyAlignment="1">
      <alignment vertical="top"/>
    </xf>
    <xf numFmtId="175" fontId="26" fillId="0" borderId="0" xfId="29" applyNumberFormat="1" applyFont="1" applyAlignment="1">
      <alignment horizontal="right" vertical="top"/>
    </xf>
    <xf numFmtId="175" fontId="111" fillId="5" borderId="10" xfId="29" applyNumberFormat="1" applyFont="1" applyFill="1" applyBorder="1" applyAlignment="1">
      <alignment horizontal="center" vertical="top"/>
    </xf>
    <xf numFmtId="175" fontId="26" fillId="0" borderId="0" xfId="29" applyNumberFormat="1" applyFont="1" applyAlignment="1">
      <alignment vertical="top"/>
    </xf>
    <xf numFmtId="175" fontId="28" fillId="0" borderId="8" xfId="29" applyNumberFormat="1" applyFont="1" applyBorder="1"/>
    <xf numFmtId="175" fontId="39" fillId="0" borderId="0" xfId="29" applyNumberFormat="1" applyFont="1" applyAlignment="1">
      <alignment vertical="top"/>
    </xf>
    <xf numFmtId="175" fontId="77" fillId="0" borderId="0" xfId="17" applyNumberFormat="1" applyFont="1" applyBorder="1"/>
    <xf numFmtId="175" fontId="74" fillId="0" borderId="0" xfId="17" applyNumberFormat="1" applyFont="1" applyFill="1" applyBorder="1" applyAlignment="1">
      <alignment horizontal="right"/>
    </xf>
    <xf numFmtId="175" fontId="75" fillId="0" borderId="0" xfId="17" applyNumberFormat="1" applyFont="1" applyFill="1" applyBorder="1" applyAlignment="1">
      <alignment horizontal="right"/>
    </xf>
    <xf numFmtId="175" fontId="75" fillId="0" borderId="0" xfId="17" applyNumberFormat="1" applyFont="1" applyFill="1" applyBorder="1"/>
    <xf numFmtId="175" fontId="1" fillId="0" borderId="0" xfId="17" applyNumberFormat="1" applyBorder="1"/>
    <xf numFmtId="175" fontId="112" fillId="0" borderId="0" xfId="17" applyNumberFormat="1" applyFont="1" applyBorder="1"/>
    <xf numFmtId="175" fontId="1" fillId="0" borderId="0" xfId="17" applyNumberFormat="1"/>
    <xf numFmtId="0" fontId="25" fillId="0" borderId="0" xfId="15" applyFont="1" applyAlignment="1">
      <alignment horizontal="left" vertical="top" wrapText="1"/>
    </xf>
  </cellXfs>
  <cellStyles count="30">
    <cellStyle name="Comma0" xfId="8"/>
    <cellStyle name="Currency0" xfId="9"/>
    <cellStyle name="Date" xfId="10"/>
    <cellStyle name="Fixed" xfId="11"/>
    <cellStyle name="Heading" xfId="1"/>
    <cellStyle name="Heading1" xfId="2"/>
    <cellStyle name="Naslov 1 2" xfId="12"/>
    <cellStyle name="Naslov 2 2" xfId="13"/>
    <cellStyle name="Navadno" xfId="0" builtinId="0" customBuiltin="1"/>
    <cellStyle name="Navadno 10 10 10" xfId="20"/>
    <cellStyle name="Navadno 10 10 10 5" xfId="27"/>
    <cellStyle name="Navadno 2" xfId="7"/>
    <cellStyle name="Navadno 2 2 2 3 2" xfId="16"/>
    <cellStyle name="Navadno 2 3 9" xfId="28"/>
    <cellStyle name="Navadno 3" xfId="15"/>
    <cellStyle name="Navadno 4" xfId="3"/>
    <cellStyle name="Navadno 5" xfId="17"/>
    <cellStyle name="Navadno 6 116" xfId="26"/>
    <cellStyle name="Navadno_PLINSKI PRIKLJUČEK POPISI" xfId="19"/>
    <cellStyle name="Navadno_POPIS VODA objekt A1 in A2" xfId="21"/>
    <cellStyle name="Navadno_STROJNICA" xfId="23"/>
    <cellStyle name="Navadno_VODA" xfId="22"/>
    <cellStyle name="Navadno_VODA 2" xfId="24"/>
    <cellStyle name="Navadno_ZRAK" xfId="25"/>
    <cellStyle name="Normal_I-BREZOV" xfId="6"/>
    <cellStyle name="Result" xfId="4"/>
    <cellStyle name="Result2" xfId="5"/>
    <cellStyle name="Vejica" xfId="29" builtinId="3"/>
    <cellStyle name="Vejica 2" xfId="18"/>
    <cellStyle name="Vsota 2" xfId="14"/>
  </cellStyles>
  <dxfs count="1">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oro&#269;ila\Poslovni%20prostori\Hotel%20Cerkn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omazv\Be&#382;igrajski%20dvor\ACAD\PGD-PZI\Poslovni%20prostori\Hotel%20Cerkno\POK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ici\Documents\Gradnja%20manj&#353;ih%20parkiri&#353;&#269;\P+R\PZI\PZI\0_Popisi\P+R%20-%20Popis%20SANITARNA%20VODA-zaklenje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fici\Documents\Gradnja%20manj&#353;ih%20parkiri&#353;&#269;\P+R\PZI\PZI\0_Popisi\P+R%20-%20Popis%20VODOVOD-zaklenj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Elektro material"/>
      <sheetName val="Elektro matreial 1"/>
      <sheetName val="Svetilna_telesa"/>
      <sheetName val="Vodovni_material"/>
      <sheetName val="Telefon"/>
      <sheetName val="Pozar"/>
      <sheetName val="RTV"/>
      <sheetName val="Domofon"/>
    </sheetNames>
    <sheetDataSet>
      <sheetData sheetId="0">
        <row r="47">
          <cell r="D47">
            <v>1.0548999999999999</v>
          </cell>
        </row>
      </sheetData>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vetilna_telesa"/>
      <sheetName val="Vodovni_material"/>
      <sheetName val="Stikalni_bloki"/>
      <sheetName val="Telefon"/>
      <sheetName val="Ozvocenje"/>
      <sheetName val="Pozar"/>
      <sheetName val="RTV"/>
      <sheetName val="Strelovod"/>
    </sheetNames>
    <sheetDataSet>
      <sheetData sheetId="0" refreshError="1">
        <row r="40">
          <cell r="D40">
            <v>1.0548999999999999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nitarna Rekapitulacija"/>
      <sheetName val="Sanitarna"/>
    </sheetNames>
    <sheetDataSet>
      <sheetData sheetId="0"/>
      <sheetData sheetId="1">
        <row r="81">
          <cell r="F81">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vodovod"/>
      <sheetName val="Vodovod"/>
    </sheetNames>
    <sheetDataSet>
      <sheetData sheetId="0"/>
      <sheetData sheetId="1">
        <row r="86">
          <cell r="F86">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abSelected="1" workbookViewId="0">
      <selection activeCell="D39" sqref="D39"/>
    </sheetView>
  </sheetViews>
  <sheetFormatPr defaultRowHeight="14.25"/>
  <cols>
    <col min="5" max="5" width="20.25" customWidth="1"/>
    <col min="6" max="6" width="23" style="883" customWidth="1"/>
  </cols>
  <sheetData>
    <row r="1" spans="1:6" ht="15">
      <c r="A1" s="1"/>
      <c r="C1" s="2"/>
      <c r="D1" s="3"/>
      <c r="E1" s="3"/>
      <c r="F1" s="880"/>
    </row>
    <row r="2" spans="1:6" ht="15">
      <c r="A2" s="1"/>
      <c r="C2" s="2"/>
      <c r="D2" s="3"/>
      <c r="E2" s="3"/>
      <c r="F2" s="880"/>
    </row>
    <row r="3" spans="1:6" ht="15">
      <c r="A3" s="1"/>
      <c r="C3" s="2"/>
      <c r="D3" s="3"/>
      <c r="E3" s="3"/>
      <c r="F3" s="880"/>
    </row>
    <row r="4" spans="1:6" ht="18">
      <c r="A4" s="8" t="s">
        <v>1</v>
      </c>
      <c r="B4" s="8"/>
      <c r="C4" s="9" t="s">
        <v>149</v>
      </c>
      <c r="D4" s="9"/>
      <c r="E4" s="10"/>
      <c r="F4" s="881"/>
    </row>
    <row r="5" spans="1:6" ht="18">
      <c r="A5" s="8"/>
      <c r="B5" s="8"/>
      <c r="C5" s="9"/>
      <c r="D5" s="9"/>
      <c r="E5" s="10"/>
      <c r="F5" s="881"/>
    </row>
    <row r="6" spans="1:6" ht="18">
      <c r="A6" s="8"/>
      <c r="B6" s="8"/>
      <c r="C6" s="9"/>
      <c r="D6" s="9"/>
      <c r="E6" s="10"/>
      <c r="F6" s="881"/>
    </row>
    <row r="7" spans="1:6" ht="18">
      <c r="A7" s="8"/>
      <c r="B7" s="8"/>
      <c r="C7" s="9"/>
      <c r="D7" s="9"/>
      <c r="E7" s="10"/>
      <c r="F7" s="881"/>
    </row>
    <row r="8" spans="1:6" ht="18">
      <c r="A8" s="8"/>
      <c r="B8" s="11"/>
      <c r="C8" s="9"/>
      <c r="D8" s="9"/>
      <c r="E8" s="10"/>
      <c r="F8" s="881"/>
    </row>
    <row r="9" spans="1:6" ht="18">
      <c r="A9" s="8" t="s">
        <v>2</v>
      </c>
      <c r="B9" s="11"/>
      <c r="C9" s="9" t="s">
        <v>150</v>
      </c>
      <c r="D9" s="9"/>
      <c r="E9" s="10"/>
      <c r="F9" s="881"/>
    </row>
    <row r="10" spans="1:6" ht="18">
      <c r="A10" s="8"/>
      <c r="B10" s="11"/>
      <c r="C10" s="9" t="s">
        <v>151</v>
      </c>
      <c r="D10" s="9"/>
      <c r="E10" s="10"/>
      <c r="F10" s="881"/>
    </row>
    <row r="11" spans="1:6" ht="18">
      <c r="A11" s="8"/>
      <c r="B11" s="11"/>
      <c r="C11" s="9" t="s">
        <v>152</v>
      </c>
      <c r="D11" s="9"/>
      <c r="E11" s="10"/>
      <c r="F11" s="881"/>
    </row>
    <row r="12" spans="1:6" ht="18">
      <c r="A12" s="8"/>
      <c r="B12" s="11"/>
      <c r="C12" s="9"/>
      <c r="D12" s="9"/>
      <c r="E12" s="10"/>
      <c r="F12" s="881"/>
    </row>
    <row r="13" spans="1:6" ht="18">
      <c r="A13" s="8"/>
      <c r="B13" s="11"/>
      <c r="C13" s="9"/>
      <c r="D13" s="9"/>
      <c r="E13" s="10"/>
      <c r="F13" s="881"/>
    </row>
    <row r="14" spans="1:6" ht="20.25">
      <c r="A14" s="1"/>
      <c r="B14" s="18" t="s">
        <v>1115</v>
      </c>
      <c r="C14" s="2"/>
      <c r="D14" s="3"/>
      <c r="E14" s="3"/>
      <c r="F14" s="880"/>
    </row>
    <row r="15" spans="1:6" ht="15.75">
      <c r="A15" s="5"/>
      <c r="C15" s="12"/>
      <c r="D15" s="3"/>
      <c r="E15" s="3"/>
      <c r="F15" s="880"/>
    </row>
    <row r="16" spans="1:6" ht="18">
      <c r="A16" s="13"/>
      <c r="B16" s="8"/>
      <c r="C16" s="9"/>
      <c r="D16" s="3"/>
      <c r="E16" s="3"/>
      <c r="F16" s="880"/>
    </row>
    <row r="17" spans="1:6" ht="18">
      <c r="A17" s="1"/>
      <c r="B17" s="14"/>
      <c r="C17" s="9"/>
      <c r="D17" s="3"/>
      <c r="E17" s="3"/>
      <c r="F17" s="880"/>
    </row>
    <row r="18" spans="1:6" ht="15">
      <c r="A18" s="512" t="s">
        <v>89</v>
      </c>
      <c r="B18" s="12" t="s">
        <v>1263</v>
      </c>
      <c r="C18" s="12"/>
      <c r="D18" s="12"/>
      <c r="E18" s="12"/>
      <c r="F18" s="885">
        <f>SUM(ARHITEKTURA_rek.!F68)</f>
        <v>0</v>
      </c>
    </row>
    <row r="19" spans="1:6" ht="15">
      <c r="A19" s="512" t="s">
        <v>91</v>
      </c>
      <c r="B19" s="12" t="s">
        <v>1264</v>
      </c>
      <c r="C19" s="12"/>
      <c r="D19" s="12"/>
      <c r="E19" s="12"/>
      <c r="F19" s="885">
        <f>SUM(ZUNANJA_UREDITEV_rek.!C11)</f>
        <v>0</v>
      </c>
    </row>
    <row r="20" spans="1:6" ht="15">
      <c r="A20" s="512" t="s">
        <v>94</v>
      </c>
      <c r="B20" s="12" t="s">
        <v>1265</v>
      </c>
      <c r="C20" s="12"/>
      <c r="D20" s="12"/>
      <c r="E20" s="886"/>
      <c r="F20" s="885">
        <f>SUM(PADAVINSKA_rek.!C10)</f>
        <v>0</v>
      </c>
    </row>
    <row r="21" spans="1:6" ht="15">
      <c r="A21" s="512" t="s">
        <v>96</v>
      </c>
      <c r="B21" s="12" t="s">
        <v>1266</v>
      </c>
      <c r="C21" s="12"/>
      <c r="D21" s="12"/>
      <c r="E21" s="886"/>
      <c r="F21" s="885">
        <f>SUM(SANITARNA_rek.!C10)</f>
        <v>0</v>
      </c>
    </row>
    <row r="22" spans="1:6" ht="15">
      <c r="A22" s="512" t="s">
        <v>101</v>
      </c>
      <c r="B22" s="12" t="s">
        <v>1267</v>
      </c>
      <c r="C22" s="12"/>
      <c r="D22" s="12"/>
      <c r="E22" s="886"/>
      <c r="F22" s="885">
        <f>SUM(STROJNE_rek.!C7)</f>
        <v>0</v>
      </c>
    </row>
    <row r="23" spans="1:6" ht="15">
      <c r="A23" s="512" t="s">
        <v>102</v>
      </c>
      <c r="B23" s="12" t="s">
        <v>1268</v>
      </c>
      <c r="C23" s="12"/>
      <c r="D23" s="12"/>
      <c r="E23" s="886"/>
      <c r="F23" s="885">
        <f>SUM(VODOVOD_rek.!C10)</f>
        <v>0</v>
      </c>
    </row>
    <row r="24" spans="1:6" ht="15">
      <c r="A24" s="512" t="s">
        <v>103</v>
      </c>
      <c r="B24" s="12" t="s">
        <v>1362</v>
      </c>
      <c r="C24" s="886"/>
      <c r="D24" s="886"/>
      <c r="E24" s="886"/>
      <c r="F24" s="887">
        <f>SUM(ELEKTRO_rek.!D27)</f>
        <v>0</v>
      </c>
    </row>
    <row r="25" spans="1:6">
      <c r="A25" s="88"/>
      <c r="B25" s="886"/>
      <c r="C25" s="886"/>
      <c r="D25" s="886"/>
      <c r="E25" s="886"/>
    </row>
    <row r="26" spans="1:6" ht="15">
      <c r="A26" s="88"/>
      <c r="B26" s="12" t="s">
        <v>251</v>
      </c>
      <c r="C26" s="886"/>
      <c r="D26" s="886"/>
      <c r="E26" s="886"/>
      <c r="F26" s="885">
        <f>SUM(F18:F25)</f>
        <v>0</v>
      </c>
    </row>
    <row r="27" spans="1:6" ht="15">
      <c r="A27" s="88"/>
      <c r="B27" s="12" t="s">
        <v>1363</v>
      </c>
      <c r="C27" s="886"/>
      <c r="D27" s="886"/>
      <c r="E27" s="886"/>
      <c r="F27" s="885">
        <f>F26*0.05</f>
        <v>0</v>
      </c>
    </row>
    <row r="28" spans="1:6" ht="15">
      <c r="A28" s="88"/>
      <c r="B28" s="12" t="s">
        <v>251</v>
      </c>
      <c r="C28" s="886"/>
      <c r="D28" s="886"/>
      <c r="E28" s="886"/>
      <c r="F28" s="885">
        <f>SUM(F26:F27)</f>
        <v>0</v>
      </c>
    </row>
    <row r="29" spans="1:6" ht="15">
      <c r="A29" s="88"/>
      <c r="B29" s="886"/>
      <c r="C29" s="886"/>
      <c r="D29" s="886"/>
      <c r="E29" s="886"/>
      <c r="F29" s="885"/>
    </row>
    <row r="30" spans="1:6" ht="15">
      <c r="A30" s="88"/>
      <c r="B30" s="12" t="s">
        <v>1365</v>
      </c>
      <c r="C30" s="886"/>
      <c r="D30" s="886"/>
      <c r="E30" s="886"/>
      <c r="F30" s="885">
        <f>F28*0.22</f>
        <v>0</v>
      </c>
    </row>
    <row r="31" spans="1:6">
      <c r="B31" s="886"/>
      <c r="C31" s="886"/>
      <c r="D31" s="886"/>
      <c r="E31" s="886"/>
    </row>
    <row r="32" spans="1:6" ht="15">
      <c r="B32" s="12" t="s">
        <v>1364</v>
      </c>
      <c r="C32" s="12"/>
      <c r="D32" s="12"/>
      <c r="E32" s="12"/>
      <c r="F32" s="885">
        <f>SUM(F28:F30)</f>
        <v>0</v>
      </c>
    </row>
    <row r="33" spans="2:5">
      <c r="B33" s="886"/>
      <c r="C33" s="886"/>
      <c r="D33" s="886"/>
      <c r="E33" s="886"/>
    </row>
  </sheetData>
  <sheetProtection algorithmName="SHA-512" hashValue="t+FHdwZg+M4ctmFAfdiqHHVMdXFBAOPf9OC5mqdTeKixunIqFlVrTUscwdxyJJt5ZNRDGEVg/U05PCQxsvNzog==" saltValue="rC4/pJRHaBOJsTgMy8KH8g==" spinCount="100000" sheet="1" objects="1" scenarios="1" formatCells="0" formatColumns="0" formatRows="0"/>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0"/>
  <sheetViews>
    <sheetView workbookViewId="0">
      <selection activeCell="B10" sqref="B10"/>
    </sheetView>
  </sheetViews>
  <sheetFormatPr defaultRowHeight="14.25"/>
  <cols>
    <col min="1" max="1" width="4.75" customWidth="1"/>
    <col min="2" max="2" width="41.5" customWidth="1"/>
    <col min="5" max="5" width="9" style="849"/>
    <col min="6" max="6" width="11.25" style="883" customWidth="1"/>
  </cols>
  <sheetData>
    <row r="1" spans="1:6" ht="38.25">
      <c r="A1" s="346" t="s">
        <v>242</v>
      </c>
      <c r="B1" s="347" t="s">
        <v>243</v>
      </c>
      <c r="C1" s="332" t="s">
        <v>253</v>
      </c>
      <c r="D1" s="335" t="s">
        <v>254</v>
      </c>
      <c r="E1" s="826" t="s">
        <v>255</v>
      </c>
      <c r="F1" s="945" t="s">
        <v>244</v>
      </c>
    </row>
    <row r="2" spans="1:6">
      <c r="A2" s="326"/>
      <c r="B2" s="327"/>
      <c r="C2" s="328"/>
      <c r="D2" s="329"/>
      <c r="E2" s="825"/>
      <c r="F2" s="946"/>
    </row>
    <row r="3" spans="1:6">
      <c r="A3" s="330" t="s">
        <v>89</v>
      </c>
      <c r="B3" s="331" t="s">
        <v>245</v>
      </c>
      <c r="C3" s="332"/>
      <c r="D3" s="333"/>
      <c r="E3" s="826"/>
      <c r="F3" s="947"/>
    </row>
    <row r="4" spans="1:6">
      <c r="A4" s="326"/>
      <c r="B4" s="331"/>
      <c r="C4" s="334"/>
      <c r="D4" s="335"/>
      <c r="E4" s="827"/>
      <c r="F4" s="948"/>
    </row>
    <row r="5" spans="1:6">
      <c r="A5" s="330" t="s">
        <v>256</v>
      </c>
      <c r="B5" s="331" t="s">
        <v>257</v>
      </c>
      <c r="C5" s="334"/>
      <c r="D5" s="335"/>
      <c r="E5" s="827"/>
      <c r="F5" s="948"/>
    </row>
    <row r="6" spans="1:6">
      <c r="A6" s="326"/>
      <c r="B6" s="327"/>
      <c r="C6" s="336"/>
      <c r="D6" s="329"/>
      <c r="E6" s="825"/>
      <c r="F6" s="946"/>
    </row>
    <row r="7" spans="1:6" ht="25.5">
      <c r="A7" s="326" t="s">
        <v>258</v>
      </c>
      <c r="B7" s="327" t="s">
        <v>1093</v>
      </c>
      <c r="C7" s="336"/>
      <c r="D7" s="329"/>
      <c r="E7" s="825"/>
      <c r="F7" s="946"/>
    </row>
    <row r="8" spans="1:6">
      <c r="A8" s="326"/>
      <c r="B8" s="327"/>
      <c r="C8" s="328">
        <v>151.69999999999999</v>
      </c>
      <c r="D8" s="329" t="s">
        <v>108</v>
      </c>
      <c r="E8" s="825"/>
      <c r="F8" s="946">
        <f>ROUND(ROUND(C8,2)*ROUND(E8,2),2)</f>
        <v>0</v>
      </c>
    </row>
    <row r="9" spans="1:6">
      <c r="A9" s="326"/>
      <c r="B9" s="327"/>
      <c r="C9" s="328"/>
      <c r="D9" s="329"/>
      <c r="E9" s="825"/>
      <c r="F9" s="946"/>
    </row>
    <row r="10" spans="1:6">
      <c r="A10" s="330" t="s">
        <v>256</v>
      </c>
      <c r="B10" s="331" t="s">
        <v>263</v>
      </c>
      <c r="C10" s="334"/>
      <c r="D10" s="335"/>
      <c r="E10" s="827"/>
      <c r="F10" s="948">
        <f>SUM(F7:F9)</f>
        <v>0</v>
      </c>
    </row>
    <row r="11" spans="1:6">
      <c r="A11" s="330"/>
      <c r="B11" s="331"/>
      <c r="C11" s="334"/>
      <c r="D11" s="335"/>
      <c r="E11" s="827"/>
      <c r="F11" s="948"/>
    </row>
    <row r="12" spans="1:6">
      <c r="A12" s="330" t="s">
        <v>291</v>
      </c>
      <c r="B12" s="331" t="s">
        <v>292</v>
      </c>
      <c r="C12" s="334"/>
      <c r="D12" s="335"/>
      <c r="E12" s="827"/>
      <c r="F12" s="948"/>
    </row>
    <row r="13" spans="1:6">
      <c r="A13" s="330"/>
      <c r="B13" s="331"/>
      <c r="C13" s="334"/>
      <c r="D13" s="335"/>
      <c r="E13" s="827"/>
      <c r="F13" s="948"/>
    </row>
    <row r="14" spans="1:6" ht="51">
      <c r="A14" s="337" t="s">
        <v>293</v>
      </c>
      <c r="B14" s="327" t="s">
        <v>1092</v>
      </c>
      <c r="C14" s="328"/>
      <c r="D14" s="329"/>
      <c r="E14" s="825"/>
      <c r="F14" s="946"/>
    </row>
    <row r="15" spans="1:6">
      <c r="A15" s="337"/>
      <c r="B15" s="327" t="s">
        <v>1014</v>
      </c>
      <c r="C15" s="328">
        <v>5</v>
      </c>
      <c r="D15" s="329" t="s">
        <v>108</v>
      </c>
      <c r="E15" s="825"/>
      <c r="F15" s="946">
        <f>ROUND(ROUND(C15,2)*ROUND(E15,2),2)</f>
        <v>0</v>
      </c>
    </row>
    <row r="16" spans="1:6">
      <c r="A16" s="337"/>
      <c r="B16" s="327"/>
      <c r="C16" s="328"/>
      <c r="D16" s="329"/>
      <c r="E16" s="825"/>
      <c r="F16" s="946"/>
    </row>
    <row r="17" spans="1:6" ht="38.25">
      <c r="A17" s="337" t="s">
        <v>295</v>
      </c>
      <c r="B17" s="327" t="s">
        <v>1116</v>
      </c>
      <c r="C17" s="328"/>
      <c r="D17" s="329"/>
      <c r="E17" s="825"/>
      <c r="F17" s="946"/>
    </row>
    <row r="18" spans="1:6">
      <c r="A18" s="337"/>
      <c r="B18" s="327" t="s">
        <v>1014</v>
      </c>
      <c r="C18" s="328">
        <f>ROUNDUP(C8/10,0)</f>
        <v>16</v>
      </c>
      <c r="D18" s="329" t="s">
        <v>1090</v>
      </c>
      <c r="E18" s="825"/>
      <c r="F18" s="946">
        <f t="shared" ref="F18" si="0">ROUND(ROUND(C18,2)*ROUND(E18,2),2)</f>
        <v>0</v>
      </c>
    </row>
    <row r="19" spans="1:6">
      <c r="A19" s="337"/>
      <c r="B19" s="327"/>
      <c r="C19" s="328"/>
      <c r="D19" s="329"/>
      <c r="E19" s="825"/>
      <c r="F19" s="946"/>
    </row>
    <row r="20" spans="1:6" ht="38.25">
      <c r="A20" s="337"/>
      <c r="B20" s="331" t="s">
        <v>1117</v>
      </c>
      <c r="C20" s="328"/>
      <c r="D20" s="329"/>
      <c r="E20" s="825"/>
      <c r="F20" s="946"/>
    </row>
    <row r="21" spans="1:6">
      <c r="A21" s="337"/>
      <c r="B21" s="327"/>
      <c r="C21" s="328"/>
      <c r="D21" s="329"/>
      <c r="E21" s="825"/>
      <c r="F21" s="946"/>
    </row>
    <row r="22" spans="1:6">
      <c r="A22" s="330" t="s">
        <v>291</v>
      </c>
      <c r="B22" s="338" t="s">
        <v>297</v>
      </c>
      <c r="C22" s="334"/>
      <c r="D22" s="335"/>
      <c r="E22" s="827"/>
      <c r="F22" s="948">
        <f>SUM(F14:F21)</f>
        <v>0</v>
      </c>
    </row>
    <row r="23" spans="1:6">
      <c r="A23" s="330"/>
      <c r="B23" s="331"/>
      <c r="C23" s="334"/>
      <c r="D23" s="335"/>
      <c r="E23" s="827"/>
      <c r="F23" s="948"/>
    </row>
    <row r="24" spans="1:6">
      <c r="A24" s="330" t="s">
        <v>89</v>
      </c>
      <c r="B24" s="331" t="s">
        <v>298</v>
      </c>
      <c r="C24" s="332"/>
      <c r="D24" s="333"/>
      <c r="E24" s="826"/>
      <c r="F24" s="948">
        <f>F22+F10</f>
        <v>0</v>
      </c>
    </row>
    <row r="25" spans="1:6">
      <c r="A25" s="326"/>
      <c r="B25" s="327"/>
      <c r="C25" s="328"/>
      <c r="D25" s="329"/>
      <c r="E25" s="825"/>
      <c r="F25" s="946"/>
    </row>
    <row r="26" spans="1:6">
      <c r="A26" s="330" t="s">
        <v>91</v>
      </c>
      <c r="B26" s="331" t="s">
        <v>12</v>
      </c>
      <c r="C26" s="332"/>
      <c r="D26" s="333"/>
      <c r="E26" s="826"/>
      <c r="F26" s="947"/>
    </row>
    <row r="27" spans="1:6">
      <c r="A27" s="330"/>
      <c r="B27" s="331"/>
      <c r="C27" s="332"/>
      <c r="D27" s="333"/>
      <c r="E27" s="826"/>
      <c r="F27" s="947"/>
    </row>
    <row r="28" spans="1:6" ht="25.5">
      <c r="A28" s="350"/>
      <c r="B28" s="331" t="s">
        <v>1088</v>
      </c>
      <c r="C28" s="351"/>
      <c r="D28" s="133"/>
      <c r="E28" s="825"/>
      <c r="F28" s="946"/>
    </row>
    <row r="29" spans="1:6">
      <c r="A29" s="350"/>
      <c r="B29" s="331"/>
      <c r="C29" s="351"/>
      <c r="D29" s="133"/>
      <c r="E29" s="825"/>
      <c r="F29" s="946"/>
    </row>
    <row r="30" spans="1:6">
      <c r="A30" s="330" t="s">
        <v>725</v>
      </c>
      <c r="B30" s="331" t="s">
        <v>736</v>
      </c>
      <c r="C30" s="334"/>
      <c r="D30" s="335"/>
      <c r="E30" s="827"/>
      <c r="F30" s="948"/>
    </row>
    <row r="31" spans="1:6">
      <c r="A31" s="330"/>
      <c r="B31" s="331"/>
      <c r="C31" s="334"/>
      <c r="D31" s="335"/>
      <c r="E31" s="827"/>
      <c r="F31" s="948"/>
    </row>
    <row r="32" spans="1:6" ht="38.25">
      <c r="A32" s="337" t="s">
        <v>735</v>
      </c>
      <c r="B32" s="268" t="s">
        <v>1087</v>
      </c>
      <c r="C32" s="328"/>
      <c r="D32" s="329"/>
      <c r="E32" s="825"/>
      <c r="F32" s="946"/>
    </row>
    <row r="33" spans="1:6">
      <c r="A33" s="326"/>
      <c r="B33" s="331" t="s">
        <v>1022</v>
      </c>
      <c r="C33" s="328">
        <v>0</v>
      </c>
      <c r="D33" s="329" t="s">
        <v>98</v>
      </c>
      <c r="E33" s="825"/>
      <c r="F33" s="946">
        <f>ROUND(ROUND(C33,2)*ROUND(E33,2),2)</f>
        <v>0</v>
      </c>
    </row>
    <row r="34" spans="1:6">
      <c r="A34" s="330"/>
      <c r="B34" s="331"/>
      <c r="C34" s="334"/>
      <c r="D34" s="335"/>
      <c r="E34" s="827"/>
      <c r="F34" s="946"/>
    </row>
    <row r="35" spans="1:6" ht="38.25">
      <c r="A35" s="337" t="s">
        <v>733</v>
      </c>
      <c r="B35" s="268" t="s">
        <v>1086</v>
      </c>
      <c r="C35" s="328"/>
      <c r="D35" s="329"/>
      <c r="E35" s="825"/>
      <c r="F35" s="946"/>
    </row>
    <row r="36" spans="1:6">
      <c r="A36" s="326"/>
      <c r="B36" s="268" t="s">
        <v>1014</v>
      </c>
      <c r="C36" s="328">
        <v>15</v>
      </c>
      <c r="D36" s="329" t="s">
        <v>98</v>
      </c>
      <c r="E36" s="825"/>
      <c r="F36" s="946">
        <f t="shared" ref="F36:F48" si="1">ROUND(ROUND(C36,2)*ROUND(E36,2),2)</f>
        <v>0</v>
      </c>
    </row>
    <row r="37" spans="1:6">
      <c r="A37" s="330"/>
      <c r="B37" s="331"/>
      <c r="C37" s="339"/>
      <c r="D37" s="335"/>
      <c r="E37" s="827"/>
      <c r="F37" s="946"/>
    </row>
    <row r="38" spans="1:6" ht="25.5">
      <c r="A38" s="348"/>
      <c r="B38" s="268" t="s">
        <v>1085</v>
      </c>
      <c r="C38" s="340"/>
      <c r="D38" s="329"/>
      <c r="E38" s="825"/>
      <c r="F38" s="946"/>
    </row>
    <row r="39" spans="1:6">
      <c r="A39" s="337"/>
      <c r="B39" s="268" t="s">
        <v>433</v>
      </c>
      <c r="C39" s="328">
        <v>321.39999999999998</v>
      </c>
      <c r="D39" s="329"/>
      <c r="E39" s="825"/>
      <c r="F39" s="946">
        <f t="shared" si="1"/>
        <v>0</v>
      </c>
    </row>
    <row r="40" spans="1:6" ht="25.5">
      <c r="A40" s="337" t="s">
        <v>731</v>
      </c>
      <c r="B40" s="268" t="s">
        <v>1084</v>
      </c>
      <c r="C40" s="328">
        <f>C39*0.6</f>
        <v>192.83999999999997</v>
      </c>
      <c r="D40" s="133" t="s">
        <v>98</v>
      </c>
      <c r="E40" s="825"/>
      <c r="F40" s="946">
        <f t="shared" si="1"/>
        <v>0</v>
      </c>
    </row>
    <row r="41" spans="1:6" ht="25.5">
      <c r="A41" s="337" t="s">
        <v>729</v>
      </c>
      <c r="B41" s="268" t="s">
        <v>1083</v>
      </c>
      <c r="C41" s="328">
        <f>C39*0.35</f>
        <v>112.48999999999998</v>
      </c>
      <c r="D41" s="133" t="s">
        <v>98</v>
      </c>
      <c r="E41" s="825"/>
      <c r="F41" s="946">
        <f t="shared" si="1"/>
        <v>0</v>
      </c>
    </row>
    <row r="42" spans="1:6" ht="25.5">
      <c r="A42" s="337" t="s">
        <v>727</v>
      </c>
      <c r="B42" s="268" t="s">
        <v>1082</v>
      </c>
      <c r="C42" s="328">
        <f>C39*0.05</f>
        <v>16.07</v>
      </c>
      <c r="D42" s="329" t="s">
        <v>98</v>
      </c>
      <c r="E42" s="825"/>
      <c r="F42" s="946">
        <f t="shared" si="1"/>
        <v>0</v>
      </c>
    </row>
    <row r="43" spans="1:6">
      <c r="A43" s="326"/>
      <c r="B43" s="268"/>
      <c r="C43" s="340"/>
      <c r="D43" s="329"/>
      <c r="E43" s="825"/>
      <c r="F43" s="946"/>
    </row>
    <row r="44" spans="1:6" ht="25.5">
      <c r="A44" s="348"/>
      <c r="B44" s="268" t="s">
        <v>1081</v>
      </c>
      <c r="C44" s="340"/>
      <c r="D44" s="329"/>
      <c r="E44" s="825"/>
      <c r="F44" s="946"/>
    </row>
    <row r="45" spans="1:6">
      <c r="A45" s="337"/>
      <c r="B45" s="268" t="s">
        <v>433</v>
      </c>
      <c r="C45" s="328">
        <v>17.600000000000001</v>
      </c>
      <c r="D45" s="329"/>
      <c r="E45" s="825"/>
      <c r="F45" s="946">
        <f t="shared" si="1"/>
        <v>0</v>
      </c>
    </row>
    <row r="46" spans="1:6" ht="25.5">
      <c r="A46" s="337" t="s">
        <v>1080</v>
      </c>
      <c r="B46" s="268" t="s">
        <v>1079</v>
      </c>
      <c r="C46" s="328">
        <f>C45*0.1</f>
        <v>1.7600000000000002</v>
      </c>
      <c r="D46" s="133" t="s">
        <v>98</v>
      </c>
      <c r="E46" s="825"/>
      <c r="F46" s="946">
        <f t="shared" si="1"/>
        <v>0</v>
      </c>
    </row>
    <row r="47" spans="1:6" ht="25.5">
      <c r="A47" s="337" t="s">
        <v>1078</v>
      </c>
      <c r="B47" s="268" t="s">
        <v>1077</v>
      </c>
      <c r="C47" s="328">
        <f>C45*0.7</f>
        <v>12.32</v>
      </c>
      <c r="D47" s="133" t="s">
        <v>98</v>
      </c>
      <c r="E47" s="825"/>
      <c r="F47" s="946">
        <f t="shared" si="1"/>
        <v>0</v>
      </c>
    </row>
    <row r="48" spans="1:6" ht="25.5">
      <c r="A48" s="337" t="s">
        <v>1076</v>
      </c>
      <c r="B48" s="268" t="s">
        <v>1075</v>
      </c>
      <c r="C48" s="328">
        <f>C45*0.2</f>
        <v>3.5200000000000005</v>
      </c>
      <c r="D48" s="329" t="s">
        <v>98</v>
      </c>
      <c r="E48" s="825"/>
      <c r="F48" s="946">
        <f t="shared" si="1"/>
        <v>0</v>
      </c>
    </row>
    <row r="49" spans="1:6">
      <c r="A49" s="337"/>
      <c r="B49" s="268"/>
      <c r="C49" s="340"/>
      <c r="D49" s="329"/>
      <c r="E49" s="825"/>
      <c r="F49" s="946"/>
    </row>
    <row r="50" spans="1:6">
      <c r="A50" s="330" t="s">
        <v>725</v>
      </c>
      <c r="B50" s="331" t="s">
        <v>724</v>
      </c>
      <c r="C50" s="339"/>
      <c r="D50" s="335"/>
      <c r="E50" s="827"/>
      <c r="F50" s="948">
        <f>SUM(F31:F49)</f>
        <v>0</v>
      </c>
    </row>
    <row r="51" spans="1:6">
      <c r="A51" s="266"/>
      <c r="B51" s="265"/>
      <c r="C51" s="168"/>
      <c r="D51" s="133"/>
      <c r="E51" s="825"/>
      <c r="F51" s="946"/>
    </row>
    <row r="52" spans="1:6">
      <c r="A52" s="330" t="s">
        <v>716</v>
      </c>
      <c r="B52" s="331" t="s">
        <v>1049</v>
      </c>
      <c r="C52" s="339"/>
      <c r="D52" s="335"/>
      <c r="E52" s="827"/>
      <c r="F52" s="948"/>
    </row>
    <row r="53" spans="1:6">
      <c r="A53" s="330"/>
      <c r="B53" s="331"/>
      <c r="C53" s="339"/>
      <c r="D53" s="335"/>
      <c r="E53" s="827"/>
      <c r="F53" s="948"/>
    </row>
    <row r="54" spans="1:6" ht="25.5">
      <c r="A54" s="337" t="s">
        <v>722</v>
      </c>
      <c r="B54" s="268" t="s">
        <v>1046</v>
      </c>
      <c r="C54" s="340"/>
      <c r="D54" s="329"/>
      <c r="E54" s="825"/>
      <c r="F54" s="946"/>
    </row>
    <row r="55" spans="1:6">
      <c r="A55" s="326"/>
      <c r="B55" s="268"/>
      <c r="C55" s="328">
        <f>C8*0.6</f>
        <v>91.02</v>
      </c>
      <c r="D55" s="329" t="s">
        <v>100</v>
      </c>
      <c r="E55" s="825"/>
      <c r="F55" s="946">
        <f>ROUND(ROUND(C55,2)*ROUND(E55,2),2)</f>
        <v>0</v>
      </c>
    </row>
    <row r="56" spans="1:6">
      <c r="A56" s="326"/>
      <c r="B56" s="268"/>
      <c r="C56" s="340"/>
      <c r="D56" s="329"/>
      <c r="E56" s="825"/>
      <c r="F56" s="946"/>
    </row>
    <row r="57" spans="1:6" ht="51">
      <c r="A57" s="337" t="s">
        <v>720</v>
      </c>
      <c r="B57" s="268" t="s">
        <v>1043</v>
      </c>
      <c r="C57" s="340"/>
      <c r="D57" s="329"/>
      <c r="E57" s="825"/>
      <c r="F57" s="946"/>
    </row>
    <row r="58" spans="1:6">
      <c r="A58" s="326"/>
      <c r="B58" s="268"/>
      <c r="C58" s="328">
        <v>13.56</v>
      </c>
      <c r="D58" s="329" t="s">
        <v>98</v>
      </c>
      <c r="E58" s="825"/>
      <c r="F58" s="946">
        <f t="shared" ref="F58:F70" si="2">ROUND(ROUND(C58,2)*ROUND(E58,2),2)</f>
        <v>0</v>
      </c>
    </row>
    <row r="59" spans="1:6">
      <c r="A59" s="326"/>
      <c r="B59" s="268"/>
      <c r="C59" s="340"/>
      <c r="D59" s="329"/>
      <c r="E59" s="825"/>
      <c r="F59" s="946"/>
    </row>
    <row r="60" spans="1:6" ht="76.5">
      <c r="A60" s="337" t="s">
        <v>718</v>
      </c>
      <c r="B60" s="268" t="s">
        <v>1037</v>
      </c>
      <c r="C60" s="340"/>
      <c r="D60" s="329"/>
      <c r="E60" s="825"/>
      <c r="F60" s="946"/>
    </row>
    <row r="61" spans="1:6">
      <c r="A61" s="326"/>
      <c r="B61" s="268"/>
      <c r="C61" s="328">
        <v>49.85</v>
      </c>
      <c r="D61" s="329" t="s">
        <v>98</v>
      </c>
      <c r="E61" s="825"/>
      <c r="F61" s="946">
        <f t="shared" si="2"/>
        <v>0</v>
      </c>
    </row>
    <row r="62" spans="1:6">
      <c r="A62" s="326"/>
      <c r="B62" s="268"/>
      <c r="C62" s="340"/>
      <c r="D62" s="329"/>
      <c r="E62" s="825"/>
      <c r="F62" s="946"/>
    </row>
    <row r="63" spans="1:6" ht="38.25">
      <c r="A63" s="337" t="s">
        <v>1042</v>
      </c>
      <c r="B63" s="268" t="s">
        <v>1031</v>
      </c>
      <c r="C63" s="340"/>
      <c r="D63" s="329"/>
      <c r="E63" s="825"/>
      <c r="F63" s="946"/>
    </row>
    <row r="64" spans="1:6">
      <c r="A64" s="326"/>
      <c r="B64" s="268"/>
      <c r="C64" s="328">
        <v>270.82</v>
      </c>
      <c r="D64" s="329" t="s">
        <v>98</v>
      </c>
      <c r="E64" s="825"/>
      <c r="F64" s="946">
        <f t="shared" si="2"/>
        <v>0</v>
      </c>
    </row>
    <row r="65" spans="1:6">
      <c r="A65" s="326"/>
      <c r="B65" s="268"/>
      <c r="C65" s="340"/>
      <c r="D65" s="329"/>
      <c r="E65" s="825"/>
      <c r="F65" s="946"/>
    </row>
    <row r="66" spans="1:6" ht="63.75">
      <c r="A66" s="337" t="s">
        <v>1040</v>
      </c>
      <c r="B66" s="268" t="s">
        <v>1027</v>
      </c>
      <c r="C66" s="340"/>
      <c r="D66" s="329"/>
      <c r="E66" s="825"/>
      <c r="F66" s="946"/>
    </row>
    <row r="67" spans="1:6">
      <c r="A67" s="326"/>
      <c r="B67" s="268"/>
      <c r="C67" s="328">
        <f>(C39-C64)*1.4</f>
        <v>70.811999999999969</v>
      </c>
      <c r="D67" s="329" t="s">
        <v>98</v>
      </c>
      <c r="E67" s="825"/>
      <c r="F67" s="946">
        <f t="shared" si="2"/>
        <v>0</v>
      </c>
    </row>
    <row r="68" spans="1:6">
      <c r="A68" s="326"/>
      <c r="B68" s="268"/>
      <c r="C68" s="340"/>
      <c r="D68" s="329"/>
      <c r="E68" s="825"/>
      <c r="F68" s="946"/>
    </row>
    <row r="69" spans="1:6" ht="25.5">
      <c r="A69" s="337" t="s">
        <v>1038</v>
      </c>
      <c r="B69" s="268" t="s">
        <v>1025</v>
      </c>
      <c r="C69" s="340"/>
      <c r="D69" s="329"/>
      <c r="E69" s="825"/>
      <c r="F69" s="946"/>
    </row>
    <row r="70" spans="1:6">
      <c r="A70" s="326"/>
      <c r="B70" s="336"/>
      <c r="C70" s="328">
        <v>40</v>
      </c>
      <c r="D70" s="329" t="s">
        <v>121</v>
      </c>
      <c r="E70" s="825"/>
      <c r="F70" s="946">
        <f t="shared" si="2"/>
        <v>0</v>
      </c>
    </row>
    <row r="71" spans="1:6">
      <c r="A71" s="326"/>
      <c r="B71" s="268"/>
      <c r="C71" s="340"/>
      <c r="D71" s="329"/>
      <c r="E71" s="825"/>
      <c r="F71" s="946"/>
    </row>
    <row r="72" spans="1:6">
      <c r="A72" s="330" t="s">
        <v>716</v>
      </c>
      <c r="B72" s="331" t="s">
        <v>1024</v>
      </c>
      <c r="C72" s="339"/>
      <c r="D72" s="335"/>
      <c r="E72" s="827"/>
      <c r="F72" s="948">
        <f>SUM(F54:F70)</f>
        <v>0</v>
      </c>
    </row>
    <row r="73" spans="1:6">
      <c r="A73" s="330"/>
      <c r="B73" s="331"/>
      <c r="C73" s="339"/>
      <c r="D73" s="335"/>
      <c r="E73" s="827"/>
      <c r="F73" s="948"/>
    </row>
    <row r="74" spans="1:6">
      <c r="A74" s="341" t="s">
        <v>694</v>
      </c>
      <c r="B74" s="338" t="s">
        <v>699</v>
      </c>
      <c r="C74" s="339"/>
      <c r="D74" s="335"/>
      <c r="E74" s="827"/>
      <c r="F74" s="948"/>
    </row>
    <row r="75" spans="1:6">
      <c r="A75" s="342"/>
      <c r="B75" s="343"/>
      <c r="C75" s="340"/>
      <c r="D75" s="329"/>
      <c r="E75" s="825"/>
      <c r="F75" s="946"/>
    </row>
    <row r="76" spans="1:6" ht="38.25">
      <c r="A76" s="342" t="s">
        <v>698</v>
      </c>
      <c r="B76" s="343" t="s">
        <v>1023</v>
      </c>
      <c r="C76" s="340"/>
      <c r="D76" s="329"/>
      <c r="E76" s="825"/>
      <c r="F76" s="946"/>
    </row>
    <row r="77" spans="1:6">
      <c r="A77" s="342"/>
      <c r="B77" s="331" t="s">
        <v>1022</v>
      </c>
      <c r="C77" s="328">
        <v>0</v>
      </c>
      <c r="D77" s="329" t="s">
        <v>100</v>
      </c>
      <c r="E77" s="825"/>
      <c r="F77" s="946">
        <f>ROUND(ROUND(C77,2)*ROUND(E77,2),2)</f>
        <v>0</v>
      </c>
    </row>
    <row r="78" spans="1:6">
      <c r="A78" s="342"/>
      <c r="B78" s="343"/>
      <c r="C78" s="340"/>
      <c r="D78" s="329"/>
      <c r="E78" s="825"/>
      <c r="F78" s="946"/>
    </row>
    <row r="79" spans="1:6">
      <c r="A79" s="341" t="s">
        <v>694</v>
      </c>
      <c r="B79" s="338" t="s">
        <v>693</v>
      </c>
      <c r="C79" s="339"/>
      <c r="D79" s="335"/>
      <c r="E79" s="827"/>
      <c r="F79" s="948">
        <f>SUM(F75:F77)</f>
        <v>0</v>
      </c>
    </row>
    <row r="80" spans="1:6">
      <c r="A80" s="330"/>
      <c r="B80" s="331"/>
      <c r="C80" s="339"/>
      <c r="D80" s="335"/>
      <c r="E80" s="827"/>
      <c r="F80" s="948"/>
    </row>
    <row r="81" spans="1:6">
      <c r="A81" s="330" t="s">
        <v>91</v>
      </c>
      <c r="B81" s="331" t="s">
        <v>1021</v>
      </c>
      <c r="C81" s="344"/>
      <c r="D81" s="333"/>
      <c r="E81" s="826"/>
      <c r="F81" s="948">
        <f>F72+F50+F79</f>
        <v>0</v>
      </c>
    </row>
    <row r="82" spans="1:6">
      <c r="A82" s="330"/>
      <c r="B82" s="331"/>
      <c r="C82" s="344"/>
      <c r="D82" s="333"/>
      <c r="E82" s="826"/>
      <c r="F82" s="947"/>
    </row>
    <row r="83" spans="1:6">
      <c r="A83" s="330" t="s">
        <v>96</v>
      </c>
      <c r="B83" s="331" t="s">
        <v>248</v>
      </c>
      <c r="C83" s="344"/>
      <c r="D83" s="333"/>
      <c r="E83" s="826"/>
      <c r="F83" s="947"/>
    </row>
    <row r="84" spans="1:6">
      <c r="A84" s="348"/>
      <c r="B84" s="268"/>
      <c r="C84" s="340"/>
      <c r="D84" s="329"/>
      <c r="E84" s="825"/>
      <c r="F84" s="946"/>
    </row>
    <row r="85" spans="1:6" ht="51">
      <c r="A85" s="337" t="s">
        <v>1020</v>
      </c>
      <c r="B85" s="268" t="s">
        <v>1019</v>
      </c>
      <c r="C85" s="340"/>
      <c r="D85" s="329"/>
      <c r="E85" s="825"/>
      <c r="F85" s="946"/>
    </row>
    <row r="86" spans="1:6">
      <c r="A86" s="348"/>
      <c r="B86" s="268"/>
      <c r="C86" s="328">
        <v>0</v>
      </c>
      <c r="D86" s="329" t="s">
        <v>100</v>
      </c>
      <c r="E86" s="825"/>
      <c r="F86" s="946">
        <f>ROUND(ROUND(C86,2)*ROUND(E86,2),2)</f>
        <v>0</v>
      </c>
    </row>
    <row r="87" spans="1:6">
      <c r="A87" s="348"/>
      <c r="B87" s="268"/>
      <c r="C87" s="328"/>
      <c r="D87" s="329"/>
      <c r="E87" s="825"/>
      <c r="F87" s="946"/>
    </row>
    <row r="88" spans="1:6" ht="38.25">
      <c r="A88" s="337" t="s">
        <v>1018</v>
      </c>
      <c r="B88" s="268" t="s">
        <v>1017</v>
      </c>
      <c r="C88" s="328"/>
      <c r="D88" s="329"/>
      <c r="E88" s="825"/>
      <c r="F88" s="946"/>
    </row>
    <row r="89" spans="1:6">
      <c r="A89" s="348"/>
      <c r="B89" s="268"/>
      <c r="C89" s="328">
        <v>0</v>
      </c>
      <c r="D89" s="329" t="s">
        <v>100</v>
      </c>
      <c r="E89" s="825"/>
      <c r="F89" s="946">
        <f t="shared" ref="F89:F98" si="3">ROUND(ROUND(C89,2)*ROUND(E89,2),2)</f>
        <v>0</v>
      </c>
    </row>
    <row r="90" spans="1:6">
      <c r="A90" s="348"/>
      <c r="B90" s="268"/>
      <c r="C90" s="340"/>
      <c r="D90" s="329"/>
      <c r="E90" s="825"/>
      <c r="F90" s="946"/>
    </row>
    <row r="91" spans="1:6" ht="25.5">
      <c r="A91" s="337" t="s">
        <v>1016</v>
      </c>
      <c r="B91" s="268" t="s">
        <v>1015</v>
      </c>
      <c r="C91" s="340"/>
      <c r="D91" s="329"/>
      <c r="E91" s="825"/>
      <c r="F91" s="946"/>
    </row>
    <row r="92" spans="1:6">
      <c r="A92" s="348"/>
      <c r="B92" s="268" t="s">
        <v>1014</v>
      </c>
      <c r="C92" s="328">
        <v>4</v>
      </c>
      <c r="D92" s="329" t="s">
        <v>113</v>
      </c>
      <c r="E92" s="825"/>
      <c r="F92" s="946">
        <f t="shared" si="3"/>
        <v>0</v>
      </c>
    </row>
    <row r="93" spans="1:6">
      <c r="A93" s="348"/>
      <c r="B93" s="268"/>
      <c r="C93" s="340"/>
      <c r="D93" s="329"/>
      <c r="E93" s="825"/>
      <c r="F93" s="946"/>
    </row>
    <row r="94" spans="1:6" ht="76.5">
      <c r="A94" s="337" t="s">
        <v>1013</v>
      </c>
      <c r="B94" s="268" t="s">
        <v>1012</v>
      </c>
      <c r="C94" s="340"/>
      <c r="D94" s="329"/>
      <c r="E94" s="825"/>
      <c r="F94" s="946"/>
    </row>
    <row r="95" spans="1:6">
      <c r="A95" s="348"/>
      <c r="B95" s="268"/>
      <c r="C95" s="328">
        <v>2</v>
      </c>
      <c r="D95" s="329" t="s">
        <v>113</v>
      </c>
      <c r="E95" s="825"/>
      <c r="F95" s="946">
        <f t="shared" si="3"/>
        <v>0</v>
      </c>
    </row>
    <row r="96" spans="1:6">
      <c r="A96" s="348"/>
      <c r="B96" s="268"/>
      <c r="C96" s="340"/>
      <c r="D96" s="329"/>
      <c r="E96" s="825"/>
      <c r="F96" s="946"/>
    </row>
    <row r="97" spans="1:6" ht="89.25">
      <c r="A97" s="337" t="s">
        <v>1011</v>
      </c>
      <c r="B97" s="268" t="s">
        <v>1010</v>
      </c>
      <c r="C97" s="340"/>
      <c r="D97" s="329"/>
      <c r="E97" s="825"/>
      <c r="F97" s="946"/>
    </row>
    <row r="98" spans="1:6">
      <c r="A98" s="348"/>
      <c r="B98" s="268"/>
      <c r="C98" s="328">
        <v>4</v>
      </c>
      <c r="D98" s="329" t="s">
        <v>108</v>
      </c>
      <c r="E98" s="825"/>
      <c r="F98" s="946">
        <f t="shared" si="3"/>
        <v>0</v>
      </c>
    </row>
    <row r="99" spans="1:6">
      <c r="A99" s="266"/>
      <c r="B99" s="265"/>
      <c r="C99" s="340"/>
      <c r="D99" s="352"/>
      <c r="E99" s="848"/>
      <c r="F99" s="946"/>
    </row>
    <row r="100" spans="1:6">
      <c r="A100" s="330" t="s">
        <v>96</v>
      </c>
      <c r="B100" s="338" t="s">
        <v>1009</v>
      </c>
      <c r="C100" s="344"/>
      <c r="D100" s="333"/>
      <c r="E100" s="826"/>
      <c r="F100" s="948">
        <f>SUM(F84:F99)</f>
        <v>0</v>
      </c>
    </row>
    <row r="101" spans="1:6">
      <c r="A101" s="330"/>
      <c r="B101" s="331"/>
      <c r="C101" s="344"/>
      <c r="D101" s="333"/>
      <c r="E101" s="826"/>
      <c r="F101" s="947"/>
    </row>
    <row r="102" spans="1:6">
      <c r="A102" s="330" t="s">
        <v>101</v>
      </c>
      <c r="B102" s="331" t="s">
        <v>963</v>
      </c>
      <c r="C102" s="344"/>
      <c r="D102" s="333"/>
      <c r="E102" s="826"/>
      <c r="F102" s="947"/>
    </row>
    <row r="103" spans="1:6">
      <c r="A103" s="326"/>
      <c r="B103" s="268"/>
      <c r="C103" s="340"/>
      <c r="D103" s="329"/>
      <c r="E103" s="825"/>
      <c r="F103" s="946"/>
    </row>
    <row r="104" spans="1:6" ht="63.75">
      <c r="A104" s="337"/>
      <c r="B104" s="268" t="s">
        <v>1008</v>
      </c>
      <c r="C104" s="340"/>
      <c r="D104" s="329"/>
      <c r="E104" s="825"/>
      <c r="F104" s="946"/>
    </row>
    <row r="105" spans="1:6" ht="25.5">
      <c r="A105" s="337" t="s">
        <v>628</v>
      </c>
      <c r="B105" s="268" t="s">
        <v>1000</v>
      </c>
      <c r="C105" s="328">
        <f>C8</f>
        <v>151.69999999999999</v>
      </c>
      <c r="D105" s="329" t="s">
        <v>108</v>
      </c>
      <c r="E105" s="825"/>
      <c r="F105" s="946">
        <f>ROUND(ROUND(C105,2)*ROUND(E105,2),2)</f>
        <v>0</v>
      </c>
    </row>
    <row r="106" spans="1:6">
      <c r="A106" s="326"/>
      <c r="B106" s="268"/>
      <c r="C106" s="340"/>
      <c r="D106" s="329"/>
      <c r="E106" s="825"/>
      <c r="F106" s="946"/>
    </row>
    <row r="107" spans="1:6">
      <c r="A107" s="326"/>
      <c r="B107" s="268"/>
      <c r="C107" s="328"/>
      <c r="D107" s="329"/>
      <c r="E107" s="825"/>
      <c r="F107" s="946"/>
    </row>
    <row r="108" spans="1:6" ht="51">
      <c r="A108" s="337" t="s">
        <v>621</v>
      </c>
      <c r="B108" s="268" t="s">
        <v>1118</v>
      </c>
      <c r="C108" s="340"/>
      <c r="D108" s="329"/>
      <c r="E108" s="825"/>
      <c r="F108" s="946"/>
    </row>
    <row r="109" spans="1:6">
      <c r="A109" s="326"/>
      <c r="B109" s="268"/>
      <c r="C109" s="328">
        <v>3</v>
      </c>
      <c r="D109" s="329" t="s">
        <v>113</v>
      </c>
      <c r="E109" s="825"/>
      <c r="F109" s="946">
        <f t="shared" ref="F109:F118" si="4">ROUND(ROUND(C109,2)*ROUND(E109,2),2)</f>
        <v>0</v>
      </c>
    </row>
    <row r="110" spans="1:6">
      <c r="A110" s="326"/>
      <c r="B110" s="268"/>
      <c r="C110" s="328"/>
      <c r="D110" s="329"/>
      <c r="E110" s="825"/>
      <c r="F110" s="946"/>
    </row>
    <row r="111" spans="1:6" ht="63.75">
      <c r="A111" s="337" t="s">
        <v>994</v>
      </c>
      <c r="B111" s="268" t="s">
        <v>996</v>
      </c>
      <c r="C111" s="340"/>
      <c r="D111" s="329"/>
      <c r="E111" s="825"/>
      <c r="F111" s="946"/>
    </row>
    <row r="112" spans="1:6">
      <c r="A112" s="326"/>
      <c r="B112" s="268"/>
      <c r="C112" s="328">
        <v>1</v>
      </c>
      <c r="D112" s="329" t="s">
        <v>113</v>
      </c>
      <c r="E112" s="825"/>
      <c r="F112" s="946">
        <f t="shared" si="4"/>
        <v>0</v>
      </c>
    </row>
    <row r="113" spans="1:6">
      <c r="A113" s="326"/>
      <c r="B113" s="268"/>
      <c r="C113" s="328"/>
      <c r="D113" s="329"/>
      <c r="E113" s="825"/>
      <c r="F113" s="946"/>
    </row>
    <row r="114" spans="1:6" ht="51">
      <c r="A114" s="337" t="s">
        <v>992</v>
      </c>
      <c r="B114" s="268" t="s">
        <v>1119</v>
      </c>
      <c r="C114" s="340"/>
      <c r="D114" s="329"/>
      <c r="E114" s="825"/>
      <c r="F114" s="946"/>
    </row>
    <row r="115" spans="1:6">
      <c r="A115" s="326"/>
      <c r="B115" s="268"/>
      <c r="C115" s="328">
        <v>2</v>
      </c>
      <c r="D115" s="329" t="s">
        <v>113</v>
      </c>
      <c r="E115" s="825"/>
      <c r="F115" s="946">
        <f t="shared" si="4"/>
        <v>0</v>
      </c>
    </row>
    <row r="116" spans="1:6">
      <c r="A116" s="326"/>
      <c r="B116" s="268"/>
      <c r="C116" s="340"/>
      <c r="D116" s="329"/>
      <c r="E116" s="825"/>
      <c r="F116" s="946"/>
    </row>
    <row r="117" spans="1:6" ht="102">
      <c r="A117" s="337" t="s">
        <v>990</v>
      </c>
      <c r="B117" s="268" t="s">
        <v>1120</v>
      </c>
      <c r="C117" s="340"/>
      <c r="D117" s="329"/>
      <c r="E117" s="825"/>
      <c r="F117" s="946"/>
    </row>
    <row r="118" spans="1:6">
      <c r="A118" s="326"/>
      <c r="B118" s="268"/>
      <c r="C118" s="328">
        <v>1</v>
      </c>
      <c r="D118" s="329" t="s">
        <v>113</v>
      </c>
      <c r="E118" s="825"/>
      <c r="F118" s="946">
        <f t="shared" si="4"/>
        <v>0</v>
      </c>
    </row>
    <row r="119" spans="1:6">
      <c r="A119" s="326"/>
      <c r="B119" s="268"/>
      <c r="C119" s="340"/>
      <c r="D119" s="329"/>
      <c r="E119" s="825"/>
      <c r="F119" s="946"/>
    </row>
    <row r="120" spans="1:6">
      <c r="A120" s="330" t="s">
        <v>101</v>
      </c>
      <c r="B120" s="331" t="s">
        <v>975</v>
      </c>
      <c r="C120" s="344"/>
      <c r="D120" s="333"/>
      <c r="E120" s="826"/>
      <c r="F120" s="948">
        <f>SUM(F103:F119)</f>
        <v>0</v>
      </c>
    </row>
    <row r="121" spans="1:6">
      <c r="A121" s="330"/>
      <c r="B121" s="331"/>
      <c r="C121" s="344"/>
      <c r="D121" s="333"/>
      <c r="E121" s="826"/>
      <c r="F121" s="948"/>
    </row>
    <row r="122" spans="1:6">
      <c r="A122" s="330" t="s">
        <v>102</v>
      </c>
      <c r="B122" s="331" t="s">
        <v>250</v>
      </c>
      <c r="C122" s="344"/>
      <c r="D122" s="333"/>
      <c r="E122" s="826"/>
      <c r="F122" s="947"/>
    </row>
    <row r="123" spans="1:6">
      <c r="A123" s="266"/>
      <c r="B123" s="265"/>
      <c r="C123" s="272"/>
      <c r="D123" s="133"/>
      <c r="E123" s="825"/>
      <c r="F123" s="946"/>
    </row>
    <row r="124" spans="1:6">
      <c r="A124" s="345" t="s">
        <v>131</v>
      </c>
      <c r="B124" s="331" t="s">
        <v>353</v>
      </c>
      <c r="C124" s="272"/>
      <c r="D124" s="133"/>
      <c r="E124" s="825"/>
      <c r="F124" s="946"/>
    </row>
    <row r="125" spans="1:6">
      <c r="A125" s="266"/>
      <c r="B125" s="265"/>
      <c r="C125" s="272"/>
      <c r="D125" s="133"/>
      <c r="E125" s="825"/>
      <c r="F125" s="946"/>
    </row>
    <row r="126" spans="1:6">
      <c r="A126" s="337"/>
      <c r="B126" s="327"/>
      <c r="C126" s="328"/>
      <c r="D126" s="329"/>
      <c r="E126" s="825"/>
      <c r="F126" s="946"/>
    </row>
    <row r="127" spans="1:6" ht="25.5">
      <c r="A127" s="337" t="s">
        <v>974</v>
      </c>
      <c r="B127" s="327" t="s">
        <v>973</v>
      </c>
      <c r="C127" s="349"/>
      <c r="D127" s="329"/>
      <c r="E127" s="825"/>
      <c r="F127" s="946"/>
    </row>
    <row r="128" spans="1:6">
      <c r="A128" s="337"/>
      <c r="B128" s="327"/>
      <c r="C128" s="328">
        <v>8</v>
      </c>
      <c r="D128" s="329" t="s">
        <v>121</v>
      </c>
      <c r="E128" s="825"/>
      <c r="F128" s="946">
        <f>ROUND(ROUND(C128,2)*ROUND(E128,2),2)</f>
        <v>0</v>
      </c>
    </row>
    <row r="129" spans="1:6">
      <c r="A129" s="337"/>
      <c r="B129" s="327"/>
      <c r="C129" s="328"/>
      <c r="D129" s="329"/>
      <c r="E129" s="825"/>
      <c r="F129" s="946"/>
    </row>
    <row r="130" spans="1:6" ht="25.5">
      <c r="A130" s="337" t="s">
        <v>385</v>
      </c>
      <c r="B130" s="327" t="s">
        <v>972</v>
      </c>
      <c r="C130" s="349"/>
      <c r="D130" s="329"/>
      <c r="E130" s="825"/>
      <c r="F130" s="946"/>
    </row>
    <row r="131" spans="1:6">
      <c r="A131" s="337"/>
      <c r="B131" s="327"/>
      <c r="C131" s="328">
        <v>2</v>
      </c>
      <c r="D131" s="329" t="s">
        <v>121</v>
      </c>
      <c r="E131" s="825"/>
      <c r="F131" s="946">
        <f t="shared" ref="F131:F148" si="5">ROUND(ROUND(C131,2)*ROUND(E131,2),2)</f>
        <v>0</v>
      </c>
    </row>
    <row r="132" spans="1:6">
      <c r="A132" s="337"/>
      <c r="B132" s="327"/>
      <c r="C132" s="328"/>
      <c r="D132" s="329"/>
      <c r="E132" s="825"/>
      <c r="F132" s="946"/>
    </row>
    <row r="133" spans="1:6" ht="25.5">
      <c r="A133" s="337" t="s">
        <v>1121</v>
      </c>
      <c r="B133" s="268" t="s">
        <v>1122</v>
      </c>
      <c r="C133" s="328"/>
      <c r="D133" s="329"/>
      <c r="E133" s="825"/>
      <c r="F133" s="946"/>
    </row>
    <row r="134" spans="1:6">
      <c r="A134" s="326"/>
      <c r="B134" s="268"/>
      <c r="C134" s="328">
        <v>1</v>
      </c>
      <c r="D134" s="329" t="s">
        <v>260</v>
      </c>
      <c r="E134" s="825"/>
      <c r="F134" s="946">
        <f t="shared" si="5"/>
        <v>0</v>
      </c>
    </row>
    <row r="135" spans="1:6">
      <c r="A135" s="326"/>
      <c r="B135" s="268"/>
      <c r="C135" s="340"/>
      <c r="D135" s="329"/>
      <c r="E135" s="825"/>
      <c r="F135" s="946"/>
    </row>
    <row r="136" spans="1:6">
      <c r="A136" s="345" t="s">
        <v>133</v>
      </c>
      <c r="B136" s="331" t="s">
        <v>971</v>
      </c>
      <c r="C136" s="340"/>
      <c r="D136" s="329"/>
      <c r="E136" s="825"/>
      <c r="F136" s="946"/>
    </row>
    <row r="137" spans="1:6">
      <c r="A137" s="326"/>
      <c r="B137" s="268"/>
      <c r="C137" s="340"/>
      <c r="D137" s="329"/>
      <c r="E137" s="825"/>
      <c r="F137" s="946"/>
    </row>
    <row r="138" spans="1:6" ht="25.5">
      <c r="A138" s="337" t="s">
        <v>970</v>
      </c>
      <c r="B138" s="268" t="s">
        <v>1123</v>
      </c>
      <c r="C138" s="340"/>
      <c r="D138" s="329"/>
      <c r="E138" s="825"/>
      <c r="F138" s="946"/>
    </row>
    <row r="139" spans="1:6">
      <c r="A139" s="326"/>
      <c r="B139" s="268"/>
      <c r="C139" s="328">
        <f>SUM(C107:C116)</f>
        <v>6</v>
      </c>
      <c r="D139" s="329" t="s">
        <v>113</v>
      </c>
      <c r="E139" s="825"/>
      <c r="F139" s="946">
        <f t="shared" si="5"/>
        <v>0</v>
      </c>
    </row>
    <row r="140" spans="1:6">
      <c r="A140" s="326"/>
      <c r="B140" s="268"/>
      <c r="C140" s="340"/>
      <c r="D140" s="329"/>
      <c r="E140" s="825"/>
      <c r="F140" s="946"/>
    </row>
    <row r="141" spans="1:6" ht="25.5">
      <c r="A141" s="337" t="s">
        <v>387</v>
      </c>
      <c r="B141" s="268" t="s">
        <v>1124</v>
      </c>
      <c r="C141" s="328"/>
      <c r="D141" s="329"/>
      <c r="E141" s="825"/>
      <c r="F141" s="946"/>
    </row>
    <row r="142" spans="1:6">
      <c r="A142" s="326"/>
      <c r="B142" s="268"/>
      <c r="C142" s="328">
        <f>SUM(C105:C105)</f>
        <v>151.69999999999999</v>
      </c>
      <c r="D142" s="329" t="s">
        <v>108</v>
      </c>
      <c r="E142" s="825"/>
      <c r="F142" s="946">
        <f t="shared" si="5"/>
        <v>0</v>
      </c>
    </row>
    <row r="143" spans="1:6">
      <c r="A143" s="326"/>
      <c r="B143" s="268"/>
      <c r="C143" s="328"/>
      <c r="D143" s="329"/>
      <c r="E143" s="825"/>
      <c r="F143" s="946"/>
    </row>
    <row r="144" spans="1:6" ht="25.5">
      <c r="A144" s="337" t="s">
        <v>364</v>
      </c>
      <c r="B144" s="268" t="s">
        <v>967</v>
      </c>
      <c r="C144" s="328"/>
      <c r="D144" s="329"/>
      <c r="E144" s="825"/>
      <c r="F144" s="946"/>
    </row>
    <row r="145" spans="1:6">
      <c r="A145" s="326"/>
      <c r="B145" s="268"/>
      <c r="C145" s="328">
        <f>C142</f>
        <v>151.69999999999999</v>
      </c>
      <c r="D145" s="329" t="s">
        <v>108</v>
      </c>
      <c r="E145" s="825"/>
      <c r="F145" s="946">
        <f t="shared" si="5"/>
        <v>0</v>
      </c>
    </row>
    <row r="146" spans="1:6">
      <c r="A146" s="326"/>
      <c r="B146" s="268"/>
      <c r="C146" s="328"/>
      <c r="D146" s="329"/>
      <c r="E146" s="825"/>
      <c r="F146" s="946"/>
    </row>
    <row r="147" spans="1:6" ht="102">
      <c r="A147" s="337" t="s">
        <v>362</v>
      </c>
      <c r="B147" s="268" t="s">
        <v>966</v>
      </c>
      <c r="C147" s="328"/>
      <c r="D147" s="329"/>
      <c r="E147" s="825"/>
      <c r="F147" s="946"/>
    </row>
    <row r="148" spans="1:6">
      <c r="A148" s="326"/>
      <c r="B148" s="268"/>
      <c r="C148" s="328">
        <f>C142</f>
        <v>151.69999999999999</v>
      </c>
      <c r="D148" s="329" t="s">
        <v>108</v>
      </c>
      <c r="E148" s="825"/>
      <c r="F148" s="946">
        <f t="shared" si="5"/>
        <v>0</v>
      </c>
    </row>
    <row r="149" spans="1:6">
      <c r="A149" s="326"/>
      <c r="B149" s="268"/>
      <c r="C149" s="328"/>
      <c r="D149" s="329"/>
      <c r="E149" s="825"/>
      <c r="F149" s="946"/>
    </row>
    <row r="150" spans="1:6">
      <c r="A150" s="330" t="s">
        <v>102</v>
      </c>
      <c r="B150" s="331" t="s">
        <v>965</v>
      </c>
      <c r="C150" s="332"/>
      <c r="D150" s="333"/>
      <c r="E150" s="826"/>
      <c r="F150" s="948">
        <f>SUM(F126:F149)</f>
        <v>0</v>
      </c>
    </row>
  </sheetData>
  <sheetProtection algorithmName="SHA-512" hashValue="jKNV9cWQ9STTKD+7/EqrcuFf8aRP2fggAVnC4h1ESXPMvnh69JCPa5EkTeZqPvTP6nBEfJF/F/6nRyzIQt05Yg==" saltValue="ZhaDZTf7flrQaEXwqIlxKg==" spinCount="100000" sheet="1" objects="1" scenarios="1" formatCells="0" formatColumns="0" formatRows="0"/>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7" sqref="B7"/>
    </sheetView>
  </sheetViews>
  <sheetFormatPr defaultRowHeight="14.25"/>
  <cols>
    <col min="2" max="2" width="35.875" customWidth="1"/>
    <col min="3" max="3" width="29.625" style="954" customWidth="1"/>
  </cols>
  <sheetData>
    <row r="1" spans="1:3">
      <c r="A1" s="353" t="s">
        <v>242</v>
      </c>
      <c r="B1" s="354" t="s">
        <v>243</v>
      </c>
      <c r="C1" s="951" t="s">
        <v>244</v>
      </c>
    </row>
    <row r="2" spans="1:3">
      <c r="A2" s="88"/>
      <c r="B2" s="88"/>
      <c r="C2" s="952"/>
    </row>
    <row r="3" spans="1:3">
      <c r="A3" s="88" t="s">
        <v>89</v>
      </c>
      <c r="B3" s="88" t="s">
        <v>1125</v>
      </c>
      <c r="C3" s="952">
        <f>OGREVANJE!F23</f>
        <v>0</v>
      </c>
    </row>
    <row r="4" spans="1:3">
      <c r="A4" s="88" t="s">
        <v>91</v>
      </c>
      <c r="B4" s="88" t="s">
        <v>1126</v>
      </c>
      <c r="C4" s="952">
        <f>VODOVODNA_INSTALACIJA!F167</f>
        <v>0</v>
      </c>
    </row>
    <row r="5" spans="1:3">
      <c r="A5" s="88" t="s">
        <v>94</v>
      </c>
      <c r="B5" s="88" t="s">
        <v>1127</v>
      </c>
      <c r="C5" s="952">
        <f>PREZRAČEVANJE!F51</f>
        <v>0</v>
      </c>
    </row>
    <row r="6" spans="1:3">
      <c r="A6" s="88"/>
      <c r="B6" s="88"/>
      <c r="C6" s="952"/>
    </row>
    <row r="7" spans="1:3">
      <c r="A7" s="512"/>
      <c r="B7" s="512" t="s">
        <v>251</v>
      </c>
      <c r="C7" s="953">
        <f>SUM(C3:C6)</f>
        <v>0</v>
      </c>
    </row>
    <row r="8" spans="1:3">
      <c r="A8" s="88"/>
      <c r="B8" s="88" t="s">
        <v>252</v>
      </c>
      <c r="C8" s="952">
        <f>PRODUCT(C7*0.22)</f>
        <v>0</v>
      </c>
    </row>
    <row r="9" spans="1:3">
      <c r="A9" s="88"/>
      <c r="B9" s="88" t="s">
        <v>251</v>
      </c>
      <c r="C9" s="952">
        <f>SUM(C7+C8)</f>
        <v>0</v>
      </c>
    </row>
  </sheetData>
  <sheetProtection algorithmName="SHA-512" hashValue="/mM87LYzZMh1K+xNa2ZZwF0U9aSSY8gHazVakK7jN82N0sNo+VOqwkXG5ZsZe/cjEHdTD6kqOlLDbBZ0SAFQzA==" saltValue="YJhmpeZC6O36uXdNBmk1nA==" spinCount="100000"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opLeftCell="A10" workbookViewId="0">
      <selection activeCell="F9" sqref="F9"/>
    </sheetView>
  </sheetViews>
  <sheetFormatPr defaultRowHeight="14.25"/>
  <cols>
    <col min="1" max="1" width="5.625" customWidth="1"/>
    <col min="2" max="2" width="32.75" customWidth="1"/>
    <col min="5" max="5" width="9" style="633"/>
    <col min="6" max="6" width="12.5" customWidth="1"/>
  </cols>
  <sheetData>
    <row r="1" spans="1:6" ht="26.25" thickBot="1">
      <c r="A1" s="362" t="s">
        <v>1128</v>
      </c>
      <c r="B1" s="363" t="s">
        <v>1129</v>
      </c>
      <c r="C1" s="364" t="s">
        <v>1130</v>
      </c>
      <c r="D1" s="364" t="s">
        <v>86</v>
      </c>
      <c r="E1" s="789" t="s">
        <v>1131</v>
      </c>
      <c r="F1" s="365" t="s">
        <v>1132</v>
      </c>
    </row>
    <row r="2" spans="1:6" ht="18">
      <c r="A2" s="366" t="s">
        <v>89</v>
      </c>
      <c r="B2" s="367" t="s">
        <v>1133</v>
      </c>
      <c r="C2" s="368"/>
      <c r="D2" s="368"/>
      <c r="E2" s="369"/>
      <c r="F2" s="370"/>
    </row>
    <row r="3" spans="1:6" ht="16.5">
      <c r="A3" s="371"/>
      <c r="B3" s="372"/>
      <c r="C3" s="373"/>
      <c r="D3" s="373"/>
      <c r="E3" s="374"/>
      <c r="F3" s="375"/>
    </row>
    <row r="4" spans="1:6" ht="55.5" customHeight="1">
      <c r="A4" s="376"/>
      <c r="B4" s="377" t="s">
        <v>1134</v>
      </c>
      <c r="C4" s="373"/>
      <c r="D4" s="373"/>
      <c r="E4" s="374"/>
      <c r="F4" s="375"/>
    </row>
    <row r="5" spans="1:6" ht="261.75" customHeight="1">
      <c r="A5" s="376"/>
      <c r="B5" s="377" t="s">
        <v>1135</v>
      </c>
      <c r="C5" s="373"/>
      <c r="D5" s="373"/>
      <c r="E5" s="374"/>
      <c r="F5" s="375"/>
    </row>
    <row r="6" spans="1:6" ht="16.5">
      <c r="A6" s="376"/>
      <c r="B6" s="377"/>
      <c r="C6" s="373"/>
      <c r="D6" s="373"/>
      <c r="E6" s="374"/>
      <c r="F6" s="375"/>
    </row>
    <row r="7" spans="1:6" ht="96" customHeight="1">
      <c r="A7" s="378">
        <f>COUNT($A$1:A6)+1</f>
        <v>1</v>
      </c>
      <c r="B7" s="379" t="s">
        <v>1136</v>
      </c>
      <c r="C7" s="380"/>
      <c r="D7" s="381"/>
      <c r="E7" s="382"/>
      <c r="F7" s="383"/>
    </row>
    <row r="8" spans="1:6" ht="57" customHeight="1">
      <c r="A8" s="384"/>
      <c r="B8" s="385" t="s">
        <v>1137</v>
      </c>
      <c r="C8" s="386"/>
      <c r="D8" s="386"/>
      <c r="E8" s="382"/>
      <c r="F8" s="383"/>
    </row>
    <row r="9" spans="1:6" ht="40.5" customHeight="1">
      <c r="A9" s="384"/>
      <c r="B9" s="387" t="s">
        <v>1138</v>
      </c>
      <c r="C9" s="386" t="s">
        <v>93</v>
      </c>
      <c r="D9" s="386">
        <v>1</v>
      </c>
      <c r="E9" s="382"/>
      <c r="F9" s="383">
        <f>ROUND(ROUND(D9,2)*ROUND(E9,2),2)</f>
        <v>0</v>
      </c>
    </row>
    <row r="10" spans="1:6">
      <c r="A10" s="384"/>
      <c r="B10" s="387"/>
      <c r="C10" s="386"/>
      <c r="D10" s="386"/>
      <c r="E10" s="382"/>
      <c r="F10" s="383"/>
    </row>
    <row r="11" spans="1:6" ht="23.25" customHeight="1">
      <c r="A11" s="378">
        <f>COUNT($A$1:A10)+1</f>
        <v>2</v>
      </c>
      <c r="B11" s="387" t="s">
        <v>1139</v>
      </c>
      <c r="C11" s="373" t="s">
        <v>93</v>
      </c>
      <c r="D11" s="373">
        <v>1</v>
      </c>
      <c r="E11" s="374"/>
      <c r="F11" s="383">
        <f t="shared" ref="F11:F19" si="0">ROUND(ROUND(D11,2)*ROUND(E11,2),2)</f>
        <v>0</v>
      </c>
    </row>
    <row r="12" spans="1:6" ht="16.5">
      <c r="A12" s="371"/>
      <c r="B12" s="388"/>
      <c r="C12" s="389"/>
      <c r="D12" s="389"/>
      <c r="E12" s="374"/>
      <c r="F12" s="383"/>
    </row>
    <row r="13" spans="1:6" ht="53.25" customHeight="1">
      <c r="A13" s="378">
        <f>COUNT($A$1:A12)+1</f>
        <v>3</v>
      </c>
      <c r="B13" s="390" t="s">
        <v>1140</v>
      </c>
      <c r="C13" s="373" t="s">
        <v>93</v>
      </c>
      <c r="D13" s="373">
        <v>1</v>
      </c>
      <c r="E13" s="374"/>
      <c r="F13" s="383">
        <f t="shared" si="0"/>
        <v>0</v>
      </c>
    </row>
    <row r="14" spans="1:6" ht="16.5">
      <c r="A14" s="371"/>
      <c r="B14" s="388"/>
      <c r="C14" s="389"/>
      <c r="D14" s="389"/>
      <c r="E14" s="374"/>
      <c r="F14" s="383"/>
    </row>
    <row r="15" spans="1:6" ht="33" customHeight="1">
      <c r="A15" s="391">
        <f>COUNT($A$4:A14)+1</f>
        <v>4</v>
      </c>
      <c r="B15" s="390" t="s">
        <v>1141</v>
      </c>
      <c r="C15" s="392" t="s">
        <v>93</v>
      </c>
      <c r="D15" s="392">
        <v>1</v>
      </c>
      <c r="E15" s="393"/>
      <c r="F15" s="383">
        <f t="shared" si="0"/>
        <v>0</v>
      </c>
    </row>
    <row r="16" spans="1:6" ht="15">
      <c r="A16" s="391"/>
      <c r="B16" s="390"/>
      <c r="C16" s="392"/>
      <c r="D16" s="392"/>
      <c r="E16" s="393"/>
      <c r="F16" s="383"/>
    </row>
    <row r="17" spans="1:6" ht="21.75" customHeight="1">
      <c r="A17" s="391">
        <f>COUNT($A$4:A16)+1</f>
        <v>5</v>
      </c>
      <c r="B17" s="390" t="s">
        <v>1142</v>
      </c>
      <c r="C17" s="392" t="s">
        <v>93</v>
      </c>
      <c r="D17" s="392">
        <v>1</v>
      </c>
      <c r="E17" s="393"/>
      <c r="F17" s="383">
        <f t="shared" si="0"/>
        <v>0</v>
      </c>
    </row>
    <row r="18" spans="1:6" ht="20.25" customHeight="1">
      <c r="A18" s="371"/>
      <c r="B18" s="388"/>
      <c r="C18" s="389"/>
      <c r="D18" s="389"/>
      <c r="E18" s="374"/>
      <c r="F18" s="383"/>
    </row>
    <row r="19" spans="1:6" ht="141" customHeight="1">
      <c r="A19" s="378">
        <f>COUNT($A$1:A18)+1</f>
        <v>6</v>
      </c>
      <c r="B19" s="387" t="s">
        <v>1143</v>
      </c>
      <c r="C19" s="373" t="s">
        <v>93</v>
      </c>
      <c r="D19" s="373">
        <v>1</v>
      </c>
      <c r="E19" s="374"/>
      <c r="F19" s="383">
        <f t="shared" si="0"/>
        <v>0</v>
      </c>
    </row>
    <row r="20" spans="1:6" ht="17.25" customHeight="1">
      <c r="A20" s="371"/>
      <c r="B20" s="388"/>
      <c r="C20" s="373"/>
      <c r="D20" s="373"/>
      <c r="E20" s="374"/>
      <c r="F20" s="375"/>
    </row>
    <row r="21" spans="1:6" ht="55.5" customHeight="1">
      <c r="A21" s="378">
        <f>COUNT($A$1:A20)+1</f>
        <v>7</v>
      </c>
      <c r="B21" s="377" t="s">
        <v>1144</v>
      </c>
      <c r="C21" s="373"/>
      <c r="D21" s="373"/>
      <c r="E21" s="374"/>
      <c r="F21" s="375"/>
    </row>
    <row r="22" spans="1:6" ht="18" customHeight="1">
      <c r="A22" s="376"/>
      <c r="B22" s="394"/>
      <c r="C22" s="373"/>
      <c r="D22" s="373"/>
      <c r="E22" s="395"/>
      <c r="F22" s="396"/>
    </row>
    <row r="23" spans="1:6">
      <c r="A23" s="397"/>
      <c r="B23" s="398" t="s">
        <v>1145</v>
      </c>
      <c r="C23" s="399"/>
      <c r="D23" s="399"/>
      <c r="E23" s="400"/>
      <c r="F23" s="401">
        <f>SUM(F7:F22)</f>
        <v>0</v>
      </c>
    </row>
    <row r="24" spans="1:6">
      <c r="A24" s="402"/>
      <c r="B24" s="403" t="s">
        <v>1146</v>
      </c>
      <c r="C24" s="404"/>
      <c r="D24" s="404"/>
      <c r="E24" s="405"/>
      <c r="F24" s="406">
        <f>F23*0.22</f>
        <v>0</v>
      </c>
    </row>
    <row r="25" spans="1:6">
      <c r="A25" s="402"/>
      <c r="B25" s="407" t="s">
        <v>1147</v>
      </c>
      <c r="C25" s="404"/>
      <c r="D25" s="404"/>
      <c r="E25" s="405"/>
      <c r="F25" s="406">
        <f>F23+F24</f>
        <v>0</v>
      </c>
    </row>
    <row r="26" spans="1:6" ht="16.5">
      <c r="A26" s="402"/>
      <c r="B26" s="408"/>
      <c r="C26" s="373"/>
      <c r="D26" s="373"/>
      <c r="E26" s="374"/>
      <c r="F26" s="375"/>
    </row>
  </sheetData>
  <sheetProtection algorithmName="SHA-512" hashValue="SiAC0g8FyjEy1GBSMVRr/+FdIugY4zQd2Op6/hSXbkcul1tS9mbrqRjZpXqh6gR05c+RXO50EKNrh5NI/FASHw==" saltValue="/6RpI7a68+X/qWzQiWAAsQ==" spinCount="100000" sheet="1" objects="1" scenarios="1" formatCells="0" formatColumns="0" formatRows="0"/>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0"/>
  <sheetViews>
    <sheetView workbookViewId="0">
      <selection activeCell="E7" sqref="E7"/>
    </sheetView>
  </sheetViews>
  <sheetFormatPr defaultRowHeight="14.25"/>
  <cols>
    <col min="1" max="1" width="7.25" customWidth="1"/>
    <col min="2" max="2" width="42.125" customWidth="1"/>
    <col min="5" max="5" width="9" style="633"/>
  </cols>
  <sheetData>
    <row r="1" spans="1:6" ht="15" thickBot="1">
      <c r="A1" s="409" t="s">
        <v>1128</v>
      </c>
      <c r="B1" s="409" t="s">
        <v>1129</v>
      </c>
      <c r="C1" s="410" t="s">
        <v>1130</v>
      </c>
      <c r="D1" s="410" t="s">
        <v>86</v>
      </c>
      <c r="E1" s="790" t="s">
        <v>1131</v>
      </c>
      <c r="F1" s="411" t="s">
        <v>1132</v>
      </c>
    </row>
    <row r="2" spans="1:6" ht="18">
      <c r="A2" s="412" t="s">
        <v>94</v>
      </c>
      <c r="B2" s="413" t="s">
        <v>1148</v>
      </c>
      <c r="C2" s="414"/>
      <c r="D2" s="415"/>
      <c r="E2" s="416"/>
      <c r="F2" s="417"/>
    </row>
    <row r="3" spans="1:6" ht="15">
      <c r="A3" s="418"/>
      <c r="B3" s="387"/>
      <c r="C3" s="419"/>
      <c r="D3" s="420"/>
      <c r="E3" s="421"/>
      <c r="F3" s="422"/>
    </row>
    <row r="4" spans="1:6" ht="214.5" customHeight="1">
      <c r="A4" s="418"/>
      <c r="B4" s="423" t="s">
        <v>1149</v>
      </c>
      <c r="C4" s="419"/>
      <c r="D4" s="420"/>
      <c r="E4" s="424"/>
      <c r="F4" s="406"/>
    </row>
    <row r="5" spans="1:6" ht="15">
      <c r="A5" s="418"/>
      <c r="B5" s="423"/>
      <c r="C5" s="419"/>
      <c r="D5" s="420"/>
      <c r="E5" s="424"/>
      <c r="F5" s="406"/>
    </row>
    <row r="6" spans="1:6" ht="45" customHeight="1">
      <c r="A6" s="418">
        <f>COUNT($A$1:A5)+1</f>
        <v>1</v>
      </c>
      <c r="B6" s="387" t="s">
        <v>1150</v>
      </c>
      <c r="C6" s="419"/>
      <c r="D6" s="420"/>
      <c r="E6" s="424"/>
      <c r="F6" s="406"/>
    </row>
    <row r="7" spans="1:6" ht="15">
      <c r="A7" s="418"/>
      <c r="B7" s="387"/>
      <c r="C7" s="419" t="s">
        <v>93</v>
      </c>
      <c r="D7" s="420">
        <v>1</v>
      </c>
      <c r="E7" s="424"/>
      <c r="F7" s="406">
        <f>ROUND(ROUND(D7,2)*ROUND(E7,2),2)</f>
        <v>0</v>
      </c>
    </row>
    <row r="8" spans="1:6" ht="15">
      <c r="A8" s="418"/>
      <c r="B8" s="387"/>
      <c r="C8" s="419"/>
      <c r="D8" s="420"/>
      <c r="E8" s="424"/>
      <c r="F8" s="406"/>
    </row>
    <row r="9" spans="1:6" ht="20.25" customHeight="1">
      <c r="A9" s="418">
        <f>COUNT($A$1:A8)+1</f>
        <v>2</v>
      </c>
      <c r="B9" s="425" t="s">
        <v>1151</v>
      </c>
      <c r="C9" s="422"/>
      <c r="D9" s="420"/>
      <c r="E9" s="424"/>
      <c r="F9" s="406"/>
    </row>
    <row r="10" spans="1:6" ht="31.5" customHeight="1">
      <c r="A10" s="418"/>
      <c r="B10" s="426" t="s">
        <v>1152</v>
      </c>
      <c r="C10" s="422"/>
      <c r="D10" s="420"/>
      <c r="E10" s="424"/>
      <c r="F10" s="406"/>
    </row>
    <row r="11" spans="1:6" ht="45.75" customHeight="1">
      <c r="A11" s="418"/>
      <c r="B11" s="426" t="s">
        <v>1153</v>
      </c>
      <c r="C11" s="422"/>
      <c r="D11" s="420"/>
      <c r="E11" s="424"/>
      <c r="F11" s="406"/>
    </row>
    <row r="12" spans="1:6" ht="45" customHeight="1">
      <c r="A12" s="418"/>
      <c r="B12" s="426" t="s">
        <v>1154</v>
      </c>
      <c r="C12" s="422"/>
      <c r="D12" s="420"/>
      <c r="E12" s="424"/>
      <c r="F12" s="406"/>
    </row>
    <row r="13" spans="1:6" ht="35.25" customHeight="1">
      <c r="A13" s="418"/>
      <c r="B13" s="426" t="s">
        <v>1155</v>
      </c>
      <c r="C13" s="422"/>
      <c r="D13" s="420"/>
      <c r="E13" s="424"/>
      <c r="F13" s="406"/>
    </row>
    <row r="14" spans="1:6" ht="37.5" customHeight="1">
      <c r="A14" s="418"/>
      <c r="B14" s="426" t="s">
        <v>1156</v>
      </c>
      <c r="C14" s="422"/>
      <c r="D14" s="420"/>
      <c r="E14" s="424"/>
      <c r="F14" s="406"/>
    </row>
    <row r="15" spans="1:6" ht="61.5" customHeight="1">
      <c r="A15" s="418"/>
      <c r="B15" s="427" t="s">
        <v>1157</v>
      </c>
      <c r="C15" s="386" t="s">
        <v>93</v>
      </c>
      <c r="D15" s="428">
        <v>1</v>
      </c>
      <c r="E15" s="424"/>
      <c r="F15" s="406">
        <f t="shared" ref="F15:F66" si="0">ROUND(ROUND(D15,2)*ROUND(E15,2),2)</f>
        <v>0</v>
      </c>
    </row>
    <row r="16" spans="1:6" ht="15">
      <c r="A16" s="418"/>
      <c r="B16" s="387"/>
      <c r="C16" s="419"/>
      <c r="D16" s="420"/>
      <c r="E16" s="424"/>
      <c r="F16" s="406"/>
    </row>
    <row r="17" spans="1:6" ht="51" customHeight="1">
      <c r="A17" s="418">
        <f>COUNT($A$1:A16)+1</f>
        <v>3</v>
      </c>
      <c r="B17" s="425" t="s">
        <v>1158</v>
      </c>
      <c r="C17" s="422"/>
      <c r="D17" s="428"/>
      <c r="E17" s="424"/>
      <c r="F17" s="406"/>
    </row>
    <row r="18" spans="1:6" ht="93" customHeight="1">
      <c r="A18" s="418"/>
      <c r="B18" s="429" t="s">
        <v>1159</v>
      </c>
      <c r="C18" s="422"/>
      <c r="D18" s="428"/>
      <c r="E18" s="424"/>
      <c r="F18" s="406"/>
    </row>
    <row r="19" spans="1:6" ht="299.25">
      <c r="A19" s="418"/>
      <c r="B19" s="429" t="s">
        <v>1160</v>
      </c>
      <c r="C19" s="422"/>
      <c r="D19" s="428"/>
      <c r="E19" s="424"/>
      <c r="F19" s="406"/>
    </row>
    <row r="20" spans="1:6" ht="200.1" customHeight="1">
      <c r="A20" s="418"/>
      <c r="B20" s="429" t="s">
        <v>1161</v>
      </c>
      <c r="C20" s="422"/>
      <c r="D20" s="428"/>
      <c r="E20" s="424"/>
      <c r="F20" s="406"/>
    </row>
    <row r="21" spans="1:6" ht="102.75" customHeight="1">
      <c r="A21" s="418"/>
      <c r="B21" s="425" t="s">
        <v>1162</v>
      </c>
      <c r="C21" s="386" t="s">
        <v>93</v>
      </c>
      <c r="D21" s="430">
        <v>1</v>
      </c>
      <c r="E21" s="424"/>
      <c r="F21" s="406">
        <f t="shared" si="0"/>
        <v>0</v>
      </c>
    </row>
    <row r="22" spans="1:6" ht="15">
      <c r="A22" s="418"/>
      <c r="B22" s="387"/>
      <c r="C22" s="419"/>
      <c r="D22" s="420"/>
      <c r="E22" s="424"/>
      <c r="F22" s="406"/>
    </row>
    <row r="23" spans="1:6" ht="59.25" customHeight="1">
      <c r="A23" s="418">
        <f>COUNT($A$1:A22)+1</f>
        <v>4</v>
      </c>
      <c r="B23" s="431" t="s">
        <v>1163</v>
      </c>
      <c r="C23" s="432"/>
      <c r="D23" s="433"/>
      <c r="E23" s="424"/>
      <c r="F23" s="406"/>
    </row>
    <row r="24" spans="1:6" ht="87.75" customHeight="1">
      <c r="A24" s="418"/>
      <c r="B24" s="425" t="s">
        <v>1164</v>
      </c>
      <c r="C24" s="386" t="s">
        <v>93</v>
      </c>
      <c r="D24" s="430">
        <v>1</v>
      </c>
      <c r="E24" s="424"/>
      <c r="F24" s="406">
        <f t="shared" si="0"/>
        <v>0</v>
      </c>
    </row>
    <row r="25" spans="1:6" ht="15">
      <c r="A25" s="418"/>
      <c r="B25" s="387"/>
      <c r="C25" s="419"/>
      <c r="D25" s="420"/>
      <c r="E25" s="424"/>
      <c r="F25" s="406"/>
    </row>
    <row r="26" spans="1:6" ht="27.75" customHeight="1">
      <c r="A26" s="418">
        <f>COUNT($A$1:A25)+1</f>
        <v>5</v>
      </c>
      <c r="B26" s="377" t="s">
        <v>1165</v>
      </c>
      <c r="C26" s="386"/>
      <c r="D26" s="430"/>
      <c r="E26" s="424"/>
      <c r="F26" s="406"/>
    </row>
    <row r="27" spans="1:6" ht="18" customHeight="1">
      <c r="A27" s="418"/>
      <c r="B27" s="434" t="s">
        <v>1166</v>
      </c>
      <c r="C27" s="386"/>
      <c r="D27" s="430"/>
      <c r="E27" s="424"/>
      <c r="F27" s="406"/>
    </row>
    <row r="28" spans="1:6" ht="19.5" customHeight="1">
      <c r="A28" s="418"/>
      <c r="B28" s="434" t="s">
        <v>1167</v>
      </c>
      <c r="C28" s="386"/>
      <c r="D28" s="430"/>
      <c r="E28" s="424"/>
      <c r="F28" s="406"/>
    </row>
    <row r="29" spans="1:6" ht="18" customHeight="1">
      <c r="A29" s="418"/>
      <c r="B29" s="379" t="s">
        <v>1168</v>
      </c>
      <c r="C29" s="386"/>
      <c r="D29" s="430"/>
      <c r="E29" s="424"/>
      <c r="F29" s="406"/>
    </row>
    <row r="30" spans="1:6" ht="35.25" customHeight="1">
      <c r="A30" s="418"/>
      <c r="B30" s="387" t="s">
        <v>1169</v>
      </c>
      <c r="C30" s="386"/>
      <c r="D30" s="430"/>
      <c r="E30" s="424"/>
      <c r="F30" s="406"/>
    </row>
    <row r="31" spans="1:6" ht="32.25" customHeight="1">
      <c r="A31" s="418"/>
      <c r="B31" s="387" t="s">
        <v>1170</v>
      </c>
      <c r="C31" s="386"/>
      <c r="D31" s="430"/>
      <c r="E31" s="424"/>
      <c r="F31" s="406"/>
    </row>
    <row r="32" spans="1:6" ht="50.25" customHeight="1">
      <c r="A32" s="418"/>
      <c r="B32" s="377" t="s">
        <v>1171</v>
      </c>
      <c r="C32" s="386" t="s">
        <v>93</v>
      </c>
      <c r="D32" s="430">
        <v>1</v>
      </c>
      <c r="E32" s="424"/>
      <c r="F32" s="406">
        <f t="shared" si="0"/>
        <v>0</v>
      </c>
    </row>
    <row r="33" spans="1:6" ht="15">
      <c r="A33" s="418"/>
      <c r="B33" s="377"/>
      <c r="C33" s="386"/>
      <c r="D33" s="430"/>
      <c r="E33" s="424"/>
      <c r="F33" s="406"/>
    </row>
    <row r="34" spans="1:6" ht="51.75" customHeight="1">
      <c r="A34" s="418">
        <f>COUNT($A$1:A33)+1</f>
        <v>6</v>
      </c>
      <c r="B34" s="387" t="s">
        <v>1172</v>
      </c>
      <c r="C34" s="386"/>
      <c r="D34" s="430"/>
      <c r="E34" s="424"/>
      <c r="F34" s="406"/>
    </row>
    <row r="35" spans="1:6" ht="15">
      <c r="A35" s="418"/>
      <c r="B35" s="377"/>
      <c r="C35" s="386" t="s">
        <v>93</v>
      </c>
      <c r="D35" s="430">
        <v>1</v>
      </c>
      <c r="E35" s="424"/>
      <c r="F35" s="406">
        <f t="shared" si="0"/>
        <v>0</v>
      </c>
    </row>
    <row r="36" spans="1:6" ht="15">
      <c r="A36" s="418"/>
      <c r="B36" s="425"/>
      <c r="C36" s="386"/>
      <c r="D36" s="430"/>
      <c r="E36" s="424"/>
      <c r="F36" s="406"/>
    </row>
    <row r="37" spans="1:6" ht="46.5" customHeight="1">
      <c r="A37" s="418">
        <f>COUNT($A$1:A36)+1</f>
        <v>7</v>
      </c>
      <c r="B37" s="435" t="s">
        <v>1173</v>
      </c>
      <c r="C37" s="386"/>
      <c r="D37" s="433"/>
      <c r="E37" s="424"/>
      <c r="F37" s="406"/>
    </row>
    <row r="38" spans="1:6" ht="15">
      <c r="A38" s="418"/>
      <c r="B38" s="436" t="s">
        <v>1174</v>
      </c>
      <c r="C38" s="386"/>
      <c r="D38" s="433"/>
      <c r="E38" s="424"/>
      <c r="F38" s="406"/>
    </row>
    <row r="39" spans="1:6" ht="151.5" customHeight="1">
      <c r="A39" s="418"/>
      <c r="B39" s="379" t="s">
        <v>1175</v>
      </c>
      <c r="C39" s="386"/>
      <c r="D39" s="433"/>
      <c r="E39" s="424"/>
      <c r="F39" s="406"/>
    </row>
    <row r="40" spans="1:6" ht="15">
      <c r="A40" s="418"/>
      <c r="B40" s="379" t="s">
        <v>1176</v>
      </c>
      <c r="C40" s="386"/>
      <c r="D40" s="433"/>
      <c r="E40" s="424"/>
      <c r="F40" s="406"/>
    </row>
    <row r="41" spans="1:6" ht="253.5" customHeight="1">
      <c r="A41" s="418"/>
      <c r="B41" s="379" t="s">
        <v>1177</v>
      </c>
      <c r="C41" s="386"/>
      <c r="D41" s="433"/>
      <c r="E41" s="424"/>
      <c r="F41" s="406"/>
    </row>
    <row r="42" spans="1:6" ht="15">
      <c r="A42" s="418"/>
      <c r="B42" s="387" t="s">
        <v>1178</v>
      </c>
      <c r="C42" s="386"/>
      <c r="D42" s="433"/>
      <c r="E42" s="424"/>
      <c r="F42" s="406"/>
    </row>
    <row r="43" spans="1:6" ht="163.5" customHeight="1">
      <c r="A43" s="418"/>
      <c r="B43" s="379" t="s">
        <v>1179</v>
      </c>
      <c r="C43" s="386"/>
      <c r="D43" s="433"/>
      <c r="E43" s="424"/>
      <c r="F43" s="406"/>
    </row>
    <row r="44" spans="1:6" ht="41.25" customHeight="1">
      <c r="A44" s="418"/>
      <c r="B44" s="426" t="s">
        <v>1156</v>
      </c>
      <c r="C44" s="386"/>
      <c r="D44" s="433"/>
      <c r="E44" s="424"/>
      <c r="F44" s="406"/>
    </row>
    <row r="45" spans="1:6" ht="82.5" customHeight="1">
      <c r="A45" s="418"/>
      <c r="B45" s="377" t="s">
        <v>1180</v>
      </c>
      <c r="C45" s="422" t="s">
        <v>93</v>
      </c>
      <c r="D45" s="428">
        <v>1</v>
      </c>
      <c r="E45" s="424"/>
      <c r="F45" s="406">
        <f t="shared" si="0"/>
        <v>0</v>
      </c>
    </row>
    <row r="46" spans="1:6" ht="15">
      <c r="A46" s="418"/>
      <c r="B46" s="437"/>
      <c r="C46" s="419"/>
      <c r="D46" s="420"/>
      <c r="E46" s="424"/>
      <c r="F46" s="406"/>
    </row>
    <row r="47" spans="1:6" ht="54" customHeight="1">
      <c r="A47" s="418">
        <f>COUNT($A$1:A46)+1</f>
        <v>8</v>
      </c>
      <c r="B47" s="387" t="s">
        <v>1181</v>
      </c>
      <c r="C47" s="419"/>
      <c r="D47" s="420"/>
      <c r="E47" s="424"/>
      <c r="F47" s="406"/>
    </row>
    <row r="48" spans="1:6" ht="54.75" customHeight="1">
      <c r="A48" s="418"/>
      <c r="B48" s="437" t="s">
        <v>1182</v>
      </c>
      <c r="C48" s="419"/>
      <c r="D48" s="420"/>
      <c r="E48" s="424"/>
      <c r="F48" s="406"/>
    </row>
    <row r="49" spans="1:6" ht="24" customHeight="1">
      <c r="A49" s="418"/>
      <c r="B49" s="394" t="s">
        <v>1183</v>
      </c>
      <c r="C49" s="438" t="s">
        <v>93</v>
      </c>
      <c r="D49" s="439">
        <v>1</v>
      </c>
      <c r="E49" s="424"/>
      <c r="F49" s="406">
        <f t="shared" si="0"/>
        <v>0</v>
      </c>
    </row>
    <row r="50" spans="1:6" ht="15">
      <c r="A50" s="418"/>
      <c r="B50" s="437"/>
      <c r="C50" s="419"/>
      <c r="D50" s="420"/>
      <c r="E50" s="424"/>
      <c r="F50" s="406"/>
    </row>
    <row r="51" spans="1:6" ht="42" customHeight="1">
      <c r="A51" s="418">
        <f>COUNT($A$1:A48)+1</f>
        <v>9</v>
      </c>
      <c r="B51" s="394" t="s">
        <v>1184</v>
      </c>
      <c r="C51" s="419"/>
      <c r="D51" s="420"/>
      <c r="E51" s="424"/>
      <c r="F51" s="406"/>
    </row>
    <row r="52" spans="1:6" ht="15">
      <c r="A52" s="418"/>
      <c r="B52" s="394" t="s">
        <v>1185</v>
      </c>
      <c r="C52" s="419"/>
      <c r="D52" s="420"/>
      <c r="E52" s="424"/>
      <c r="F52" s="406"/>
    </row>
    <row r="53" spans="1:6" ht="54.75" customHeight="1">
      <c r="A53" s="418"/>
      <c r="B53" s="437" t="s">
        <v>1182</v>
      </c>
      <c r="C53" s="419"/>
      <c r="D53" s="420"/>
      <c r="E53" s="424"/>
      <c r="F53" s="406"/>
    </row>
    <row r="54" spans="1:6" ht="15">
      <c r="A54" s="418"/>
      <c r="B54" s="437"/>
      <c r="C54" s="419" t="s">
        <v>93</v>
      </c>
      <c r="D54" s="420">
        <v>1</v>
      </c>
      <c r="E54" s="424"/>
      <c r="F54" s="406">
        <f t="shared" si="0"/>
        <v>0</v>
      </c>
    </row>
    <row r="55" spans="1:6" ht="15">
      <c r="A55" s="418"/>
      <c r="B55" s="394"/>
      <c r="C55" s="419"/>
      <c r="D55" s="420"/>
      <c r="E55" s="424"/>
      <c r="F55" s="406"/>
    </row>
    <row r="56" spans="1:6" ht="36.75" customHeight="1">
      <c r="A56" s="418">
        <f>COUNT($A$1:A55)+1</f>
        <v>10</v>
      </c>
      <c r="B56" s="387" t="s">
        <v>1186</v>
      </c>
      <c r="C56" s="419"/>
      <c r="D56" s="420"/>
      <c r="E56" s="424"/>
      <c r="F56" s="406"/>
    </row>
    <row r="57" spans="1:6" ht="48" customHeight="1">
      <c r="A57" s="418"/>
      <c r="B57" s="437" t="s">
        <v>1182</v>
      </c>
      <c r="C57" s="419"/>
      <c r="D57" s="420"/>
      <c r="E57" s="424"/>
      <c r="F57" s="406"/>
    </row>
    <row r="58" spans="1:6" ht="15">
      <c r="A58" s="418"/>
      <c r="B58" s="377" t="s">
        <v>1187</v>
      </c>
      <c r="C58" s="419" t="s">
        <v>93</v>
      </c>
      <c r="D58" s="420">
        <v>1</v>
      </c>
      <c r="E58" s="424"/>
      <c r="F58" s="406">
        <f t="shared" si="0"/>
        <v>0</v>
      </c>
    </row>
    <row r="59" spans="1:6" ht="15">
      <c r="A59" s="418"/>
      <c r="B59" s="440"/>
      <c r="C59" s="419"/>
      <c r="D59" s="420"/>
      <c r="E59" s="424"/>
      <c r="F59" s="406"/>
    </row>
    <row r="60" spans="1:6" ht="34.5" customHeight="1">
      <c r="A60" s="418">
        <f>COUNT($A$1:A59)+1</f>
        <v>11</v>
      </c>
      <c r="B60" s="394" t="s">
        <v>1188</v>
      </c>
      <c r="C60" s="419"/>
      <c r="D60" s="420"/>
      <c r="E60" s="424"/>
      <c r="F60" s="406"/>
    </row>
    <row r="61" spans="1:6" ht="48" customHeight="1">
      <c r="A61" s="418"/>
      <c r="B61" s="437" t="s">
        <v>1182</v>
      </c>
      <c r="C61" s="419"/>
      <c r="D61" s="420"/>
      <c r="E61" s="424"/>
      <c r="F61" s="406"/>
    </row>
    <row r="62" spans="1:6" ht="15">
      <c r="A62" s="418"/>
      <c r="B62" s="377" t="s">
        <v>1189</v>
      </c>
      <c r="C62" s="419" t="s">
        <v>93</v>
      </c>
      <c r="D62" s="420">
        <v>1</v>
      </c>
      <c r="E62" s="424"/>
      <c r="F62" s="406">
        <f t="shared" si="0"/>
        <v>0</v>
      </c>
    </row>
    <row r="63" spans="1:6" ht="15">
      <c r="A63" s="418"/>
      <c r="B63" s="440"/>
      <c r="C63" s="419"/>
      <c r="D63" s="419"/>
      <c r="E63" s="424"/>
      <c r="F63" s="406"/>
    </row>
    <row r="64" spans="1:6" ht="33.75" customHeight="1">
      <c r="A64" s="418">
        <f>COUNT($A$1:A63)+1</f>
        <v>12</v>
      </c>
      <c r="B64" s="441" t="s">
        <v>1190</v>
      </c>
      <c r="C64" s="419"/>
      <c r="D64" s="420"/>
      <c r="E64" s="424"/>
      <c r="F64" s="406"/>
    </row>
    <row r="65" spans="1:6" ht="54.75" customHeight="1">
      <c r="A65" s="418"/>
      <c r="B65" s="437" t="s">
        <v>1182</v>
      </c>
      <c r="C65" s="419"/>
      <c r="D65" s="420"/>
      <c r="E65" s="424"/>
      <c r="F65" s="406"/>
    </row>
    <row r="66" spans="1:6" ht="15">
      <c r="A66" s="418"/>
      <c r="B66" s="377" t="s">
        <v>1191</v>
      </c>
      <c r="C66" s="419" t="s">
        <v>93</v>
      </c>
      <c r="D66" s="420">
        <v>1</v>
      </c>
      <c r="E66" s="424"/>
      <c r="F66" s="406">
        <f t="shared" si="0"/>
        <v>0</v>
      </c>
    </row>
    <row r="67" spans="1:6" ht="15">
      <c r="A67" s="418"/>
      <c r="B67" s="387"/>
      <c r="C67" s="419"/>
      <c r="D67" s="420"/>
      <c r="E67" s="424"/>
      <c r="F67" s="406"/>
    </row>
    <row r="68" spans="1:6" ht="66" customHeight="1">
      <c r="A68" s="418">
        <f>COUNT($A$1:A67)+1</f>
        <v>13</v>
      </c>
      <c r="B68" s="394" t="s">
        <v>1192</v>
      </c>
      <c r="C68" s="419"/>
      <c r="D68" s="420"/>
      <c r="E68" s="424"/>
      <c r="F68" s="406"/>
    </row>
    <row r="69" spans="1:6" ht="19.5" customHeight="1">
      <c r="A69" s="418"/>
      <c r="B69" s="394" t="s">
        <v>1193</v>
      </c>
      <c r="C69" s="419"/>
      <c r="D69" s="420"/>
      <c r="E69" s="424"/>
      <c r="F69" s="406"/>
    </row>
    <row r="70" spans="1:6" ht="19.5" customHeight="1">
      <c r="A70" s="418"/>
      <c r="B70" s="394" t="s">
        <v>1194</v>
      </c>
      <c r="C70" s="419"/>
      <c r="D70" s="420"/>
      <c r="E70" s="424"/>
      <c r="F70" s="406"/>
    </row>
    <row r="71" spans="1:6" ht="23.25" customHeight="1">
      <c r="A71" s="418"/>
      <c r="B71" s="394" t="s">
        <v>1195</v>
      </c>
      <c r="C71" s="419"/>
      <c r="D71" s="420"/>
      <c r="E71" s="424"/>
      <c r="F71" s="406"/>
    </row>
    <row r="72" spans="1:6" ht="50.25" customHeight="1">
      <c r="A72" s="418"/>
      <c r="B72" s="377" t="s">
        <v>1196</v>
      </c>
      <c r="C72" s="419"/>
      <c r="D72" s="420"/>
      <c r="E72" s="424"/>
      <c r="F72" s="406"/>
    </row>
    <row r="73" spans="1:6" ht="20.25" customHeight="1">
      <c r="A73" s="418"/>
      <c r="B73" s="394" t="s">
        <v>1197</v>
      </c>
      <c r="C73" s="419" t="s">
        <v>113</v>
      </c>
      <c r="D73" s="420">
        <v>1</v>
      </c>
      <c r="E73" s="424"/>
      <c r="F73" s="406">
        <f t="shared" ref="F73:F135" si="1">ROUND(ROUND(D73,2)*ROUND(E73,2),2)</f>
        <v>0</v>
      </c>
    </row>
    <row r="74" spans="1:6" ht="15">
      <c r="A74" s="418"/>
      <c r="B74" s="387"/>
      <c r="C74" s="419"/>
      <c r="D74" s="420"/>
      <c r="E74" s="424"/>
      <c r="F74" s="406"/>
    </row>
    <row r="75" spans="1:6" ht="37.5" customHeight="1">
      <c r="A75" s="418">
        <f>COUNT($A$1:A74)+1</f>
        <v>14</v>
      </c>
      <c r="B75" s="434" t="s">
        <v>1198</v>
      </c>
      <c r="C75" s="419"/>
      <c r="D75" s="420"/>
      <c r="E75" s="424"/>
      <c r="F75" s="406"/>
    </row>
    <row r="76" spans="1:6" ht="15">
      <c r="A76" s="418"/>
      <c r="B76" s="442" t="s">
        <v>1199</v>
      </c>
      <c r="C76" s="419" t="s">
        <v>113</v>
      </c>
      <c r="D76" s="420">
        <v>1</v>
      </c>
      <c r="E76" s="424"/>
      <c r="F76" s="406">
        <f t="shared" si="1"/>
        <v>0</v>
      </c>
    </row>
    <row r="77" spans="1:6" ht="15">
      <c r="A77" s="418"/>
      <c r="B77" s="440"/>
      <c r="C77" s="419"/>
      <c r="D77" s="420"/>
      <c r="E77" s="424"/>
      <c r="F77" s="406"/>
    </row>
    <row r="78" spans="1:6" ht="67.5" customHeight="1">
      <c r="A78" s="418">
        <f>COUNT($A$1:A77)+1</f>
        <v>15</v>
      </c>
      <c r="B78" s="442" t="s">
        <v>1200</v>
      </c>
      <c r="C78" s="419"/>
      <c r="D78" s="420"/>
      <c r="E78" s="424"/>
      <c r="F78" s="406"/>
    </row>
    <row r="79" spans="1:6" ht="15">
      <c r="A79" s="418"/>
      <c r="B79" s="442" t="s">
        <v>1199</v>
      </c>
      <c r="C79" s="419" t="s">
        <v>113</v>
      </c>
      <c r="D79" s="420">
        <v>1</v>
      </c>
      <c r="E79" s="424"/>
      <c r="F79" s="406">
        <f t="shared" si="1"/>
        <v>0</v>
      </c>
    </row>
    <row r="80" spans="1:6" ht="15">
      <c r="A80" s="418"/>
      <c r="B80" s="442"/>
      <c r="C80" s="419"/>
      <c r="D80" s="420"/>
      <c r="E80" s="424"/>
      <c r="F80" s="406"/>
    </row>
    <row r="81" spans="1:6" ht="54.75" customHeight="1">
      <c r="A81" s="418">
        <f>COUNT($A$1:A80)+1</f>
        <v>16</v>
      </c>
      <c r="B81" s="442" t="s">
        <v>1201</v>
      </c>
      <c r="C81" s="419"/>
      <c r="D81" s="420"/>
      <c r="E81" s="424"/>
      <c r="F81" s="406"/>
    </row>
    <row r="82" spans="1:6" ht="15">
      <c r="A82" s="418"/>
      <c r="B82" s="442" t="s">
        <v>1199</v>
      </c>
      <c r="C82" s="419" t="s">
        <v>113</v>
      </c>
      <c r="D82" s="420">
        <v>1</v>
      </c>
      <c r="E82" s="424"/>
      <c r="F82" s="406">
        <f t="shared" si="1"/>
        <v>0</v>
      </c>
    </row>
    <row r="83" spans="1:6" ht="15">
      <c r="A83" s="418"/>
      <c r="B83" s="442"/>
      <c r="C83" s="419"/>
      <c r="D83" s="420"/>
      <c r="E83" s="424"/>
      <c r="F83" s="406"/>
    </row>
    <row r="84" spans="1:6" ht="55.5" customHeight="1">
      <c r="A84" s="418">
        <f>COUNT($A$1:A83)+1</f>
        <v>17</v>
      </c>
      <c r="B84" s="443" t="s">
        <v>1202</v>
      </c>
      <c r="C84" s="419"/>
      <c r="D84" s="420"/>
      <c r="E84" s="424"/>
      <c r="F84" s="406"/>
    </row>
    <row r="85" spans="1:6" ht="15">
      <c r="A85" s="418"/>
      <c r="B85" s="442" t="s">
        <v>1199</v>
      </c>
      <c r="C85" s="419" t="s">
        <v>113</v>
      </c>
      <c r="D85" s="420">
        <v>2</v>
      </c>
      <c r="E85" s="424"/>
      <c r="F85" s="406">
        <f t="shared" si="1"/>
        <v>0</v>
      </c>
    </row>
    <row r="86" spans="1:6" ht="15">
      <c r="A86" s="418"/>
      <c r="B86" s="442"/>
      <c r="C86" s="419"/>
      <c r="D86" s="420"/>
      <c r="E86" s="424"/>
      <c r="F86" s="406"/>
    </row>
    <row r="87" spans="1:6" ht="46.5" customHeight="1">
      <c r="A87" s="418">
        <f>COUNT($A$1:A86)+1</f>
        <v>18</v>
      </c>
      <c r="B87" s="443" t="s">
        <v>1203</v>
      </c>
      <c r="C87" s="419"/>
      <c r="D87" s="420"/>
      <c r="E87" s="424"/>
      <c r="F87" s="406"/>
    </row>
    <row r="88" spans="1:6" ht="15">
      <c r="A88" s="418"/>
      <c r="B88" s="442" t="s">
        <v>1204</v>
      </c>
      <c r="C88" s="419" t="s">
        <v>113</v>
      </c>
      <c r="D88" s="420">
        <v>1</v>
      </c>
      <c r="E88" s="424"/>
      <c r="F88" s="406">
        <f t="shared" si="1"/>
        <v>0</v>
      </c>
    </row>
    <row r="89" spans="1:6" ht="15">
      <c r="A89" s="418"/>
      <c r="B89" s="387"/>
      <c r="C89" s="419"/>
      <c r="D89" s="420"/>
      <c r="E89" s="424"/>
      <c r="F89" s="406"/>
    </row>
    <row r="90" spans="1:6" ht="211.5" customHeight="1">
      <c r="A90" s="418">
        <f>COUNT($A$1:A89)+1</f>
        <v>19</v>
      </c>
      <c r="B90" s="379" t="s">
        <v>1205</v>
      </c>
      <c r="C90" s="419"/>
      <c r="D90" s="420"/>
      <c r="E90" s="424"/>
      <c r="F90" s="406"/>
    </row>
    <row r="91" spans="1:6" ht="43.5" customHeight="1">
      <c r="A91" s="418"/>
      <c r="B91" s="444" t="s">
        <v>1206</v>
      </c>
      <c r="C91" s="419"/>
      <c r="D91" s="420"/>
      <c r="E91" s="424"/>
      <c r="F91" s="406"/>
    </row>
    <row r="92" spans="1:6" ht="15">
      <c r="A92" s="418"/>
      <c r="B92" s="377" t="s">
        <v>1207</v>
      </c>
      <c r="C92" s="419" t="s">
        <v>824</v>
      </c>
      <c r="D92" s="420">
        <v>4</v>
      </c>
      <c r="E92" s="424"/>
      <c r="F92" s="406">
        <f t="shared" si="1"/>
        <v>0</v>
      </c>
    </row>
    <row r="93" spans="1:6" ht="15">
      <c r="A93" s="418"/>
      <c r="B93" s="387"/>
      <c r="C93" s="419"/>
      <c r="D93" s="420"/>
      <c r="E93" s="424"/>
      <c r="F93" s="406"/>
    </row>
    <row r="94" spans="1:6" ht="204.75" customHeight="1">
      <c r="A94" s="418">
        <f>COUNT($A$1:A93)+1</f>
        <v>20</v>
      </c>
      <c r="B94" s="379" t="s">
        <v>1208</v>
      </c>
      <c r="C94" s="419"/>
      <c r="D94" s="420"/>
      <c r="E94" s="424"/>
      <c r="F94" s="406"/>
    </row>
    <row r="95" spans="1:6" ht="39" customHeight="1">
      <c r="A95" s="418"/>
      <c r="B95" s="444" t="s">
        <v>1206</v>
      </c>
      <c r="C95" s="419"/>
      <c r="D95" s="420"/>
      <c r="E95" s="424"/>
      <c r="F95" s="406"/>
    </row>
    <row r="96" spans="1:6" ht="15">
      <c r="A96" s="418"/>
      <c r="B96" s="377" t="s">
        <v>1207</v>
      </c>
      <c r="C96" s="419" t="s">
        <v>824</v>
      </c>
      <c r="D96" s="420">
        <v>1</v>
      </c>
      <c r="E96" s="424"/>
      <c r="F96" s="406">
        <f t="shared" si="1"/>
        <v>0</v>
      </c>
    </row>
    <row r="97" spans="1:6" ht="15">
      <c r="A97" s="418"/>
      <c r="B97" s="377"/>
      <c r="C97" s="419"/>
      <c r="D97" s="420"/>
      <c r="E97" s="424"/>
      <c r="F97" s="406"/>
    </row>
    <row r="98" spans="1:6" ht="68.25" customHeight="1">
      <c r="A98" s="418">
        <f>COUNT($A$1:A97)+1</f>
        <v>21</v>
      </c>
      <c r="B98" s="387" t="s">
        <v>1209</v>
      </c>
      <c r="C98" s="419"/>
      <c r="D98" s="420"/>
      <c r="E98" s="424"/>
      <c r="F98" s="406"/>
    </row>
    <row r="99" spans="1:6" ht="15">
      <c r="A99" s="418"/>
      <c r="B99" s="377" t="s">
        <v>1210</v>
      </c>
      <c r="C99" s="419" t="s">
        <v>824</v>
      </c>
      <c r="D99" s="420">
        <v>2</v>
      </c>
      <c r="E99" s="424"/>
      <c r="F99" s="406">
        <f t="shared" si="1"/>
        <v>0</v>
      </c>
    </row>
    <row r="100" spans="1:6" ht="15">
      <c r="A100" s="418"/>
      <c r="B100" s="377" t="s">
        <v>1211</v>
      </c>
      <c r="C100" s="419" t="s">
        <v>824</v>
      </c>
      <c r="D100" s="420">
        <v>4</v>
      </c>
      <c r="E100" s="424"/>
      <c r="F100" s="406">
        <f t="shared" si="1"/>
        <v>0</v>
      </c>
    </row>
    <row r="101" spans="1:6" ht="15">
      <c r="A101" s="418"/>
      <c r="B101" s="377" t="s">
        <v>1212</v>
      </c>
      <c r="C101" s="419" t="s">
        <v>824</v>
      </c>
      <c r="D101" s="420">
        <v>1</v>
      </c>
      <c r="E101" s="424"/>
      <c r="F101" s="406">
        <f t="shared" si="1"/>
        <v>0</v>
      </c>
    </row>
    <row r="102" spans="1:6" ht="15">
      <c r="A102" s="418"/>
      <c r="B102" s="377"/>
      <c r="C102" s="419"/>
      <c r="D102" s="420"/>
      <c r="E102" s="424"/>
      <c r="F102" s="406"/>
    </row>
    <row r="103" spans="1:6" ht="46.5" customHeight="1">
      <c r="A103" s="445">
        <f>COUNT($A$1:A102)+1</f>
        <v>22</v>
      </c>
      <c r="B103" s="379" t="s">
        <v>1213</v>
      </c>
      <c r="C103" s="446"/>
      <c r="D103" s="373"/>
      <c r="E103" s="447"/>
      <c r="F103" s="406"/>
    </row>
    <row r="104" spans="1:6" ht="20.25" customHeight="1">
      <c r="A104" s="445"/>
      <c r="B104" s="379" t="s">
        <v>1214</v>
      </c>
      <c r="C104" s="446"/>
      <c r="D104" s="373"/>
      <c r="E104" s="447"/>
      <c r="F104" s="406"/>
    </row>
    <row r="105" spans="1:6" ht="16.5">
      <c r="A105" s="376"/>
      <c r="B105" s="427" t="s">
        <v>1215</v>
      </c>
      <c r="C105" s="449" t="s">
        <v>113</v>
      </c>
      <c r="D105" s="373">
        <v>1</v>
      </c>
      <c r="E105" s="447"/>
      <c r="F105" s="406">
        <f t="shared" si="1"/>
        <v>0</v>
      </c>
    </row>
    <row r="106" spans="1:6" ht="15">
      <c r="A106" s="418"/>
      <c r="B106" s="377"/>
      <c r="C106" s="419"/>
      <c r="D106" s="420"/>
      <c r="E106" s="424"/>
      <c r="F106" s="406"/>
    </row>
    <row r="107" spans="1:6" ht="57.75" customHeight="1">
      <c r="A107" s="418">
        <f>COUNT($A$1:A106)+1</f>
        <v>23</v>
      </c>
      <c r="B107" s="387" t="s">
        <v>1216</v>
      </c>
      <c r="C107" s="419"/>
      <c r="D107" s="420"/>
      <c r="E107" s="424"/>
      <c r="F107" s="406"/>
    </row>
    <row r="108" spans="1:6" ht="22.5" customHeight="1">
      <c r="A108" s="418"/>
      <c r="B108" s="387" t="s">
        <v>1217</v>
      </c>
      <c r="C108" s="419" t="s">
        <v>93</v>
      </c>
      <c r="D108" s="420">
        <v>2</v>
      </c>
      <c r="E108" s="424"/>
      <c r="F108" s="406">
        <f t="shared" si="1"/>
        <v>0</v>
      </c>
    </row>
    <row r="109" spans="1:6" ht="15">
      <c r="A109" s="418"/>
      <c r="B109" s="387"/>
      <c r="C109" s="419"/>
      <c r="D109" s="420"/>
      <c r="E109" s="424"/>
      <c r="F109" s="406"/>
    </row>
    <row r="110" spans="1:6" ht="56.25" customHeight="1">
      <c r="A110" s="418">
        <f>COUNT($A$1:A109)+1</f>
        <v>24</v>
      </c>
      <c r="B110" s="379" t="s">
        <v>1218</v>
      </c>
      <c r="C110" s="419"/>
      <c r="D110" s="420"/>
      <c r="E110" s="424"/>
      <c r="F110" s="406"/>
    </row>
    <row r="111" spans="1:6" ht="15">
      <c r="A111" s="418"/>
      <c r="B111" s="387"/>
      <c r="C111" s="419" t="s">
        <v>93</v>
      </c>
      <c r="D111" s="420">
        <v>1</v>
      </c>
      <c r="E111" s="424"/>
      <c r="F111" s="406">
        <f t="shared" si="1"/>
        <v>0</v>
      </c>
    </row>
    <row r="112" spans="1:6" ht="15">
      <c r="A112" s="418"/>
      <c r="B112" s="387"/>
      <c r="C112" s="419"/>
      <c r="D112" s="420"/>
      <c r="E112" s="424"/>
      <c r="F112" s="406"/>
    </row>
    <row r="113" spans="1:6" ht="54" customHeight="1">
      <c r="A113" s="418">
        <f>COUNT($A$1:A112)+1</f>
        <v>25</v>
      </c>
      <c r="B113" s="379" t="s">
        <v>1219</v>
      </c>
      <c r="C113" s="419"/>
      <c r="D113" s="420"/>
      <c r="E113" s="424"/>
      <c r="F113" s="406"/>
    </row>
    <row r="114" spans="1:6" ht="15">
      <c r="A114" s="418"/>
      <c r="B114" s="387"/>
      <c r="C114" s="419" t="s">
        <v>93</v>
      </c>
      <c r="D114" s="420">
        <v>2</v>
      </c>
      <c r="E114" s="424"/>
      <c r="F114" s="406">
        <f t="shared" si="1"/>
        <v>0</v>
      </c>
    </row>
    <row r="115" spans="1:6" ht="15">
      <c r="A115" s="418"/>
      <c r="B115" s="387"/>
      <c r="C115" s="419"/>
      <c r="D115" s="420"/>
      <c r="E115" s="424"/>
      <c r="F115" s="406"/>
    </row>
    <row r="116" spans="1:6" ht="22.5" customHeight="1">
      <c r="A116" s="418">
        <f>COUNT($A$1:A115)+1</f>
        <v>26</v>
      </c>
      <c r="B116" s="379" t="s">
        <v>1220</v>
      </c>
      <c r="C116" s="419"/>
      <c r="D116" s="420"/>
      <c r="E116" s="424"/>
      <c r="F116" s="406"/>
    </row>
    <row r="117" spans="1:6" ht="22.5" customHeight="1">
      <c r="A117" s="418"/>
      <c r="B117" s="379" t="s">
        <v>1221</v>
      </c>
      <c r="C117" s="419" t="s">
        <v>93</v>
      </c>
      <c r="D117" s="420">
        <v>1</v>
      </c>
      <c r="E117" s="424"/>
      <c r="F117" s="406">
        <f t="shared" si="1"/>
        <v>0</v>
      </c>
    </row>
    <row r="118" spans="1:6" ht="15">
      <c r="A118" s="418"/>
      <c r="B118" s="387"/>
      <c r="C118" s="419"/>
      <c r="D118" s="420"/>
      <c r="E118" s="424"/>
      <c r="F118" s="406"/>
    </row>
    <row r="119" spans="1:6" ht="25.5" customHeight="1">
      <c r="A119" s="418">
        <f>COUNT($A$1:A118)+1</f>
        <v>27</v>
      </c>
      <c r="B119" s="379" t="s">
        <v>1222</v>
      </c>
      <c r="C119" s="419"/>
      <c r="D119" s="420"/>
      <c r="E119" s="424"/>
      <c r="F119" s="406"/>
    </row>
    <row r="120" spans="1:6" ht="15">
      <c r="A120" s="418"/>
      <c r="B120" s="387"/>
      <c r="C120" s="419" t="s">
        <v>113</v>
      </c>
      <c r="D120" s="420">
        <v>1</v>
      </c>
      <c r="E120" s="424"/>
      <c r="F120" s="406">
        <f t="shared" si="1"/>
        <v>0</v>
      </c>
    </row>
    <row r="121" spans="1:6" ht="15">
      <c r="A121" s="418"/>
      <c r="B121" s="387"/>
      <c r="C121" s="419"/>
      <c r="D121" s="420"/>
      <c r="E121" s="424"/>
      <c r="F121" s="406"/>
    </row>
    <row r="122" spans="1:6" ht="21.75" customHeight="1">
      <c r="A122" s="418">
        <f>COUNT($A$1:A121)+1</f>
        <v>28</v>
      </c>
      <c r="B122" s="379" t="s">
        <v>1223</v>
      </c>
      <c r="C122" s="419"/>
      <c r="D122" s="420"/>
      <c r="E122" s="424"/>
      <c r="F122" s="406"/>
    </row>
    <row r="123" spans="1:6" ht="15">
      <c r="A123" s="418"/>
      <c r="B123" s="387"/>
      <c r="C123" s="419" t="s">
        <v>93</v>
      </c>
      <c r="D123" s="420">
        <v>1</v>
      </c>
      <c r="E123" s="424"/>
      <c r="F123" s="406">
        <f t="shared" si="1"/>
        <v>0</v>
      </c>
    </row>
    <row r="124" spans="1:6" ht="15">
      <c r="A124" s="418"/>
      <c r="B124" s="377"/>
      <c r="C124" s="419"/>
      <c r="D124" s="420"/>
      <c r="E124" s="424"/>
      <c r="F124" s="406"/>
    </row>
    <row r="125" spans="1:6" ht="54.75" customHeight="1">
      <c r="A125" s="418">
        <f>COUNT($A$1:A124)+1</f>
        <v>29</v>
      </c>
      <c r="B125" s="387" t="s">
        <v>1224</v>
      </c>
      <c r="C125" s="419"/>
      <c r="D125" s="420"/>
      <c r="E125" s="424"/>
      <c r="F125" s="406"/>
    </row>
    <row r="126" spans="1:6" ht="15">
      <c r="A126" s="418"/>
      <c r="B126" s="387"/>
      <c r="C126" s="419" t="s">
        <v>121</v>
      </c>
      <c r="D126" s="420">
        <v>2</v>
      </c>
      <c r="E126" s="424"/>
      <c r="F126" s="406">
        <f t="shared" si="1"/>
        <v>0</v>
      </c>
    </row>
    <row r="127" spans="1:6" ht="15">
      <c r="A127" s="418"/>
      <c r="B127" s="387"/>
      <c r="C127" s="419"/>
      <c r="D127" s="420"/>
      <c r="E127" s="424"/>
      <c r="F127" s="406"/>
    </row>
    <row r="128" spans="1:6" ht="64.5" customHeight="1">
      <c r="A128" s="418">
        <f>COUNT($A$1:A126)+1</f>
        <v>30</v>
      </c>
      <c r="B128" s="387" t="s">
        <v>1225</v>
      </c>
      <c r="C128" s="419"/>
      <c r="D128" s="420"/>
      <c r="E128" s="424"/>
      <c r="F128" s="406"/>
    </row>
    <row r="129" spans="1:6" ht="15">
      <c r="A129" s="418"/>
      <c r="B129" s="387"/>
      <c r="C129" s="419" t="s">
        <v>116</v>
      </c>
      <c r="D129" s="420">
        <v>1</v>
      </c>
      <c r="E129" s="424"/>
      <c r="F129" s="406">
        <f t="shared" si="1"/>
        <v>0</v>
      </c>
    </row>
    <row r="130" spans="1:6" ht="15">
      <c r="A130" s="418"/>
      <c r="B130" s="387"/>
      <c r="C130" s="419"/>
      <c r="D130" s="420"/>
      <c r="E130" s="424"/>
      <c r="F130" s="406"/>
    </row>
    <row r="131" spans="1:6" ht="50.25" customHeight="1">
      <c r="A131" s="418">
        <f>COUNT($A$1:A129)+1</f>
        <v>31</v>
      </c>
      <c r="B131" s="450" t="s">
        <v>1226</v>
      </c>
      <c r="C131" s="419"/>
      <c r="D131" s="420"/>
      <c r="E131" s="424"/>
      <c r="F131" s="406"/>
    </row>
    <row r="132" spans="1:6" ht="15">
      <c r="A132" s="418"/>
      <c r="B132" s="387"/>
      <c r="C132" s="419" t="s">
        <v>93</v>
      </c>
      <c r="D132" s="420">
        <v>1</v>
      </c>
      <c r="E132" s="424"/>
      <c r="F132" s="406">
        <f t="shared" si="1"/>
        <v>0</v>
      </c>
    </row>
    <row r="133" spans="1:6" ht="15">
      <c r="A133" s="418"/>
      <c r="B133" s="387"/>
      <c r="C133" s="419"/>
      <c r="D133" s="420"/>
      <c r="E133" s="424"/>
      <c r="F133" s="406"/>
    </row>
    <row r="134" spans="1:6" ht="51" customHeight="1">
      <c r="A134" s="418">
        <f>COUNT($A$1:A133)+1</f>
        <v>32</v>
      </c>
      <c r="B134" s="387" t="s">
        <v>1227</v>
      </c>
      <c r="C134" s="419"/>
      <c r="D134" s="420"/>
      <c r="E134" s="424"/>
      <c r="F134" s="406"/>
    </row>
    <row r="135" spans="1:6" ht="16.5">
      <c r="A135" s="418"/>
      <c r="B135" s="387"/>
      <c r="C135" s="419" t="s">
        <v>1228</v>
      </c>
      <c r="D135" s="420">
        <v>1</v>
      </c>
      <c r="E135" s="424"/>
      <c r="F135" s="406">
        <f t="shared" si="1"/>
        <v>0</v>
      </c>
    </row>
    <row r="136" spans="1:6" ht="15">
      <c r="A136" s="418"/>
      <c r="B136" s="387"/>
      <c r="C136" s="419"/>
      <c r="D136" s="420"/>
      <c r="E136" s="424"/>
      <c r="F136" s="406"/>
    </row>
    <row r="137" spans="1:6" ht="40.5" customHeight="1">
      <c r="A137" s="418">
        <f>COUNT($A$1:A136)+1</f>
        <v>33</v>
      </c>
      <c r="B137" s="387" t="s">
        <v>1229</v>
      </c>
      <c r="C137" s="419"/>
      <c r="D137" s="420"/>
      <c r="E137" s="424"/>
      <c r="F137" s="406"/>
    </row>
    <row r="138" spans="1:6" ht="15">
      <c r="A138" s="418"/>
      <c r="B138" s="387"/>
      <c r="C138" s="419" t="s">
        <v>93</v>
      </c>
      <c r="D138" s="420">
        <v>1</v>
      </c>
      <c r="E138" s="424"/>
      <c r="F138" s="406">
        <f t="shared" ref="F138:F162" si="2">ROUND(ROUND(D138,2)*ROUND(E138,2),2)</f>
        <v>0</v>
      </c>
    </row>
    <row r="139" spans="1:6" ht="15">
      <c r="A139" s="418"/>
      <c r="B139" s="387"/>
      <c r="C139" s="419"/>
      <c r="D139" s="420"/>
      <c r="E139" s="424"/>
      <c r="F139" s="406"/>
    </row>
    <row r="140" spans="1:6" ht="36.75" customHeight="1">
      <c r="A140" s="418">
        <f>COUNT($A$1:A139)+1</f>
        <v>34</v>
      </c>
      <c r="B140" s="387" t="s">
        <v>1230</v>
      </c>
      <c r="C140" s="419"/>
      <c r="D140" s="420"/>
      <c r="E140" s="424"/>
      <c r="F140" s="406"/>
    </row>
    <row r="141" spans="1:6" ht="15">
      <c r="A141" s="418"/>
      <c r="B141" s="387"/>
      <c r="C141" s="419" t="s">
        <v>93</v>
      </c>
      <c r="D141" s="420">
        <v>1</v>
      </c>
      <c r="E141" s="424"/>
      <c r="F141" s="406">
        <f t="shared" si="2"/>
        <v>0</v>
      </c>
    </row>
    <row r="142" spans="1:6" ht="15">
      <c r="A142" s="418"/>
      <c r="B142" s="387"/>
      <c r="C142" s="419"/>
      <c r="D142" s="420"/>
      <c r="E142" s="424"/>
      <c r="F142" s="406"/>
    </row>
    <row r="143" spans="1:6" ht="23.25" customHeight="1">
      <c r="A143" s="418">
        <f>COUNT($A$1:A142)+1</f>
        <v>35</v>
      </c>
      <c r="B143" s="387" t="s">
        <v>1231</v>
      </c>
      <c r="C143" s="419"/>
      <c r="D143" s="420"/>
      <c r="E143" s="424"/>
      <c r="F143" s="406"/>
    </row>
    <row r="144" spans="1:6" ht="15">
      <c r="A144" s="418"/>
      <c r="B144" s="387"/>
      <c r="C144" s="419" t="s">
        <v>93</v>
      </c>
      <c r="D144" s="420">
        <v>1</v>
      </c>
      <c r="E144" s="424"/>
      <c r="F144" s="406">
        <f t="shared" si="2"/>
        <v>0</v>
      </c>
    </row>
    <row r="145" spans="1:6" ht="15">
      <c r="A145" s="418"/>
      <c r="B145" s="387"/>
      <c r="C145" s="419"/>
      <c r="D145" s="420"/>
      <c r="E145" s="424"/>
      <c r="F145" s="406"/>
    </row>
    <row r="146" spans="1:6" ht="51.75" customHeight="1">
      <c r="A146" s="418">
        <f>COUNT($A$1:A145)+1</f>
        <v>36</v>
      </c>
      <c r="B146" s="387" t="s">
        <v>1232</v>
      </c>
      <c r="C146" s="419"/>
      <c r="D146" s="420"/>
      <c r="E146" s="424"/>
      <c r="F146" s="406"/>
    </row>
    <row r="147" spans="1:6" ht="15">
      <c r="A147" s="418"/>
      <c r="B147" s="387"/>
      <c r="C147" s="419" t="s">
        <v>113</v>
      </c>
      <c r="D147" s="420">
        <v>10</v>
      </c>
      <c r="E147" s="424"/>
      <c r="F147" s="406">
        <f t="shared" si="2"/>
        <v>0</v>
      </c>
    </row>
    <row r="148" spans="1:6" ht="15">
      <c r="A148" s="418"/>
      <c r="B148" s="387"/>
      <c r="C148" s="419"/>
      <c r="D148" s="420"/>
      <c r="E148" s="424"/>
      <c r="F148" s="406"/>
    </row>
    <row r="149" spans="1:6" ht="68.25" customHeight="1">
      <c r="A149" s="418">
        <f>COUNT($A$1:A148)+1</f>
        <v>37</v>
      </c>
      <c r="B149" s="394" t="s">
        <v>1233</v>
      </c>
      <c r="C149" s="386"/>
      <c r="D149" s="451"/>
      <c r="E149" s="452"/>
      <c r="F149" s="406"/>
    </row>
    <row r="150" spans="1:6" ht="15">
      <c r="A150" s="453"/>
      <c r="B150" s="394"/>
      <c r="C150" s="386" t="s">
        <v>93</v>
      </c>
      <c r="D150" s="451">
        <v>1</v>
      </c>
      <c r="E150" s="454"/>
      <c r="F150" s="406">
        <f t="shared" si="2"/>
        <v>0</v>
      </c>
    </row>
    <row r="151" spans="1:6" ht="15">
      <c r="A151" s="453"/>
      <c r="B151" s="394"/>
      <c r="C151" s="386"/>
      <c r="D151" s="451"/>
      <c r="E151" s="454"/>
      <c r="F151" s="406"/>
    </row>
    <row r="152" spans="1:6" ht="43.5" customHeight="1">
      <c r="A152" s="418">
        <f>COUNT($A$1:A151)+1</f>
        <v>38</v>
      </c>
      <c r="B152" s="394" t="s">
        <v>1234</v>
      </c>
      <c r="C152" s="386"/>
      <c r="D152" s="451"/>
      <c r="E152" s="454"/>
      <c r="F152" s="406"/>
    </row>
    <row r="153" spans="1:6" ht="15">
      <c r="A153" s="418"/>
      <c r="B153" s="394"/>
      <c r="C153" s="386" t="s">
        <v>93</v>
      </c>
      <c r="D153" s="451">
        <v>1</v>
      </c>
      <c r="E153" s="454"/>
      <c r="F153" s="406">
        <f t="shared" si="2"/>
        <v>0</v>
      </c>
    </row>
    <row r="154" spans="1:6" ht="15">
      <c r="A154" s="418"/>
      <c r="B154" s="394"/>
      <c r="C154" s="386"/>
      <c r="D154" s="451"/>
      <c r="E154" s="454"/>
      <c r="F154" s="406"/>
    </row>
    <row r="155" spans="1:6" ht="57.75" customHeight="1">
      <c r="A155" s="418">
        <f>COUNT($A$1:A154)+1</f>
        <v>39</v>
      </c>
      <c r="B155" s="456" t="s">
        <v>1235</v>
      </c>
      <c r="C155" s="457"/>
      <c r="D155" s="458"/>
      <c r="E155" s="454"/>
      <c r="F155" s="406"/>
    </row>
    <row r="156" spans="1:6" ht="15">
      <c r="A156" s="418"/>
      <c r="B156" s="456"/>
      <c r="C156" s="457" t="s">
        <v>93</v>
      </c>
      <c r="D156" s="458">
        <v>1</v>
      </c>
      <c r="E156" s="454"/>
      <c r="F156" s="406">
        <f t="shared" si="2"/>
        <v>0</v>
      </c>
    </row>
    <row r="157" spans="1:6" ht="15">
      <c r="A157" s="418"/>
      <c r="B157" s="456"/>
      <c r="C157" s="457"/>
      <c r="D157" s="458"/>
      <c r="E157" s="454"/>
      <c r="F157" s="406"/>
    </row>
    <row r="158" spans="1:6" ht="68.25" customHeight="1">
      <c r="A158" s="418">
        <f>COUNT($A$1:A157)+1</f>
        <v>40</v>
      </c>
      <c r="B158" s="456" t="s">
        <v>1236</v>
      </c>
      <c r="C158" s="459"/>
      <c r="D158" s="458"/>
      <c r="E158" s="454"/>
      <c r="F158" s="406"/>
    </row>
    <row r="159" spans="1:6" ht="15">
      <c r="A159" s="418"/>
      <c r="B159" s="460"/>
      <c r="C159" s="459" t="s">
        <v>93</v>
      </c>
      <c r="D159" s="458">
        <v>1</v>
      </c>
      <c r="E159" s="454"/>
      <c r="F159" s="406">
        <f t="shared" si="2"/>
        <v>0</v>
      </c>
    </row>
    <row r="160" spans="1:6" ht="15">
      <c r="A160" s="418"/>
      <c r="B160" s="456"/>
      <c r="C160" s="457"/>
      <c r="D160" s="458"/>
      <c r="E160" s="454"/>
      <c r="F160" s="406"/>
    </row>
    <row r="161" spans="1:6" ht="39" customHeight="1">
      <c r="A161" s="418">
        <f>COUNT($A$1:A160)+1</f>
        <v>41</v>
      </c>
      <c r="B161" s="456" t="s">
        <v>1237</v>
      </c>
      <c r="C161" s="459"/>
      <c r="D161" s="458"/>
      <c r="E161" s="454"/>
      <c r="F161" s="406"/>
    </row>
    <row r="162" spans="1:6" ht="15">
      <c r="A162" s="418"/>
      <c r="B162" s="461"/>
      <c r="C162" s="459" t="s">
        <v>93</v>
      </c>
      <c r="D162" s="458">
        <v>1</v>
      </c>
      <c r="E162" s="454"/>
      <c r="F162" s="406">
        <f t="shared" si="2"/>
        <v>0</v>
      </c>
    </row>
    <row r="163" spans="1:6" ht="15">
      <c r="A163" s="418"/>
      <c r="B163" s="394"/>
      <c r="C163" s="386"/>
      <c r="D163" s="451"/>
      <c r="E163" s="454"/>
      <c r="F163" s="455"/>
    </row>
    <row r="164" spans="1:6" ht="15">
      <c r="A164" s="453"/>
      <c r="B164" s="387"/>
      <c r="C164" s="386"/>
      <c r="D164" s="458"/>
      <c r="E164" s="462"/>
      <c r="F164" s="463"/>
    </row>
    <row r="165" spans="1:6" ht="48" customHeight="1">
      <c r="A165" s="418">
        <f>COUNT($A$1:A164)+1</f>
        <v>42</v>
      </c>
      <c r="B165" s="377" t="s">
        <v>1238</v>
      </c>
      <c r="C165" s="386"/>
      <c r="D165" s="458"/>
      <c r="E165" s="462"/>
      <c r="F165" s="463"/>
    </row>
    <row r="166" spans="1:6" ht="16.5">
      <c r="A166" s="453"/>
      <c r="B166" s="464"/>
      <c r="C166" s="465"/>
      <c r="D166" s="466"/>
      <c r="E166" s="467"/>
      <c r="F166" s="468"/>
    </row>
    <row r="167" spans="1:6" ht="16.5">
      <c r="A167" s="469"/>
      <c r="B167" s="398" t="s">
        <v>1145</v>
      </c>
      <c r="C167" s="399"/>
      <c r="D167" s="399"/>
      <c r="E167" s="400"/>
      <c r="F167" s="401">
        <f>SUM(F5:F166)</f>
        <v>0</v>
      </c>
    </row>
    <row r="168" spans="1:6" ht="16.5">
      <c r="A168" s="469"/>
      <c r="B168" s="403" t="s">
        <v>1146</v>
      </c>
      <c r="C168" s="404"/>
      <c r="D168" s="404"/>
      <c r="E168" s="405"/>
      <c r="F168" s="406">
        <f>F167*0.22</f>
        <v>0</v>
      </c>
    </row>
    <row r="169" spans="1:6" ht="16.5">
      <c r="A169" s="469"/>
      <c r="B169" s="407" t="s">
        <v>1147</v>
      </c>
      <c r="C169" s="404"/>
      <c r="D169" s="404"/>
      <c r="E169" s="405"/>
      <c r="F169" s="406">
        <f>F167+F168</f>
        <v>0</v>
      </c>
    </row>
    <row r="170" spans="1:6" ht="16.5">
      <c r="A170" s="469"/>
      <c r="B170" s="470"/>
      <c r="C170" s="471"/>
      <c r="D170" s="472"/>
      <c r="E170" s="791"/>
      <c r="F170" s="396"/>
    </row>
  </sheetData>
  <sheetProtection algorithmName="SHA-512" hashValue="2ByUkZyhyRS5sq+t9NPqM09PWCrt6NbE6WauQXMtnDjgOCDdRvQJfbyiPGXTkus3hS0jqFMpGisUOB5kN+Teiw==" saltValue="GOCY+0QEr2C70HKyxtrqFQ==" spinCount="100000" sheet="1" formatCells="0" formatColumns="0" formatRows="0"/>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workbookViewId="0">
      <selection activeCell="E21" sqref="E21"/>
    </sheetView>
  </sheetViews>
  <sheetFormatPr defaultRowHeight="14.25"/>
  <cols>
    <col min="1" max="1" width="4.75" bestFit="1" customWidth="1"/>
    <col min="2" max="2" width="36.625" customWidth="1"/>
    <col min="5" max="5" width="9" style="633"/>
  </cols>
  <sheetData>
    <row r="1" spans="1:6" ht="33.75" thickBot="1">
      <c r="A1" s="473" t="s">
        <v>1128</v>
      </c>
      <c r="B1" s="474" t="s">
        <v>1129</v>
      </c>
      <c r="C1" s="475" t="s">
        <v>1130</v>
      </c>
      <c r="D1" s="476" t="s">
        <v>86</v>
      </c>
      <c r="E1" s="792" t="s">
        <v>1131</v>
      </c>
      <c r="F1" s="476" t="s">
        <v>1132</v>
      </c>
    </row>
    <row r="2" spans="1:6" ht="18">
      <c r="A2" s="477" t="s">
        <v>91</v>
      </c>
      <c r="B2" s="478" t="s">
        <v>1127</v>
      </c>
      <c r="C2" s="446"/>
      <c r="D2" s="479"/>
      <c r="E2" s="480"/>
      <c r="F2" s="481"/>
    </row>
    <row r="3" spans="1:6" ht="16.5">
      <c r="A3" s="482"/>
      <c r="B3" s="483"/>
      <c r="C3" s="446"/>
      <c r="D3" s="479"/>
      <c r="E3" s="480"/>
      <c r="F3" s="481"/>
    </row>
    <row r="4" spans="1:6" ht="45">
      <c r="A4" s="376"/>
      <c r="B4" s="377" t="s">
        <v>1134</v>
      </c>
      <c r="C4" s="446"/>
      <c r="D4" s="373"/>
      <c r="E4" s="447"/>
      <c r="F4" s="448"/>
    </row>
    <row r="5" spans="1:6" ht="225">
      <c r="A5" s="376"/>
      <c r="B5" s="377" t="s">
        <v>1135</v>
      </c>
      <c r="C5" s="446"/>
      <c r="D5" s="373"/>
      <c r="E5" s="447"/>
      <c r="F5" s="448"/>
    </row>
    <row r="6" spans="1:6" ht="16.5">
      <c r="A6" s="376"/>
      <c r="B6" s="377"/>
      <c r="C6" s="446"/>
      <c r="D6" s="373"/>
      <c r="E6" s="447"/>
      <c r="F6" s="448"/>
    </row>
    <row r="7" spans="1:6" ht="129.75">
      <c r="A7" s="445">
        <f>COUNT($A$1:A6)+1</f>
        <v>1</v>
      </c>
      <c r="B7" s="484" t="s">
        <v>1239</v>
      </c>
      <c r="C7" s="446"/>
      <c r="D7" s="373"/>
      <c r="E7" s="447"/>
      <c r="F7" s="448"/>
    </row>
    <row r="8" spans="1:6" ht="16.5">
      <c r="A8" s="376"/>
      <c r="B8" s="485" t="s">
        <v>1240</v>
      </c>
      <c r="C8" s="446"/>
      <c r="D8" s="373"/>
      <c r="E8" s="447"/>
      <c r="F8" s="448"/>
    </row>
    <row r="9" spans="1:6" ht="16.5">
      <c r="A9" s="376"/>
      <c r="B9" s="485" t="s">
        <v>1241</v>
      </c>
      <c r="C9" s="446"/>
      <c r="D9" s="373"/>
      <c r="E9" s="447"/>
      <c r="F9" s="448"/>
    </row>
    <row r="10" spans="1:6" ht="16.5">
      <c r="A10" s="376"/>
      <c r="B10" s="485" t="s">
        <v>1242</v>
      </c>
      <c r="C10" s="446"/>
      <c r="D10" s="373"/>
      <c r="E10" s="447"/>
      <c r="F10" s="448"/>
    </row>
    <row r="11" spans="1:6" ht="16.5">
      <c r="A11" s="376"/>
      <c r="B11" s="485" t="s">
        <v>1243</v>
      </c>
      <c r="C11" s="446"/>
      <c r="D11" s="373"/>
      <c r="E11" s="447"/>
      <c r="F11" s="448"/>
    </row>
    <row r="12" spans="1:6" ht="16.5">
      <c r="A12" s="376"/>
      <c r="B12" s="486" t="s">
        <v>1244</v>
      </c>
      <c r="C12" s="446"/>
      <c r="D12" s="373"/>
      <c r="E12" s="447"/>
      <c r="F12" s="448"/>
    </row>
    <row r="13" spans="1:6" ht="45">
      <c r="A13" s="376"/>
      <c r="B13" s="487" t="s">
        <v>1245</v>
      </c>
      <c r="C13" s="446"/>
      <c r="D13" s="373"/>
      <c r="E13" s="447"/>
      <c r="F13" s="448"/>
    </row>
    <row r="14" spans="1:6" ht="16.5">
      <c r="A14" s="376"/>
      <c r="B14" s="487" t="s">
        <v>1246</v>
      </c>
      <c r="C14" s="449" t="s">
        <v>93</v>
      </c>
      <c r="D14" s="373">
        <v>1</v>
      </c>
      <c r="E14" s="447"/>
      <c r="F14" s="448">
        <f>ROUND(ROUND(D14,2)*ROUND(E14,2),2)</f>
        <v>0</v>
      </c>
    </row>
    <row r="15" spans="1:6" ht="16.5">
      <c r="A15" s="376"/>
      <c r="B15" s="487"/>
      <c r="C15" s="446"/>
      <c r="D15" s="373"/>
      <c r="E15" s="447"/>
      <c r="F15" s="448"/>
    </row>
    <row r="16" spans="1:6" ht="57.75">
      <c r="A16" s="445">
        <f>COUNT($A$1:A15)+1</f>
        <v>2</v>
      </c>
      <c r="B16" s="427" t="s">
        <v>1247</v>
      </c>
      <c r="C16" s="449"/>
      <c r="D16" s="449"/>
      <c r="E16" s="447"/>
      <c r="F16" s="448"/>
    </row>
    <row r="17" spans="1:6" ht="16.5">
      <c r="A17" s="376"/>
      <c r="B17" s="427" t="s">
        <v>1248</v>
      </c>
      <c r="C17" s="449" t="s">
        <v>824</v>
      </c>
      <c r="D17" s="449">
        <v>1</v>
      </c>
      <c r="E17" s="447"/>
      <c r="F17" s="448">
        <f t="shared" ref="F17:F47" si="0">ROUND(ROUND(D17,2)*ROUND(E17,2),2)</f>
        <v>0</v>
      </c>
    </row>
    <row r="18" spans="1:6" ht="16.5">
      <c r="A18" s="376"/>
      <c r="B18" s="427"/>
      <c r="C18" s="449"/>
      <c r="D18" s="449"/>
      <c r="E18" s="447"/>
      <c r="F18" s="448"/>
    </row>
    <row r="19" spans="1:6" ht="42.75">
      <c r="A19" s="445">
        <f>COUNT($A$1:A18)+1</f>
        <v>3</v>
      </c>
      <c r="B19" s="379" t="s">
        <v>1213</v>
      </c>
      <c r="C19" s="446"/>
      <c r="D19" s="373"/>
      <c r="E19" s="447"/>
      <c r="F19" s="448"/>
    </row>
    <row r="20" spans="1:6" ht="15">
      <c r="A20" s="445"/>
      <c r="B20" s="488" t="s">
        <v>1214</v>
      </c>
      <c r="C20" s="446"/>
      <c r="D20" s="373"/>
      <c r="E20" s="447"/>
      <c r="F20" s="448"/>
    </row>
    <row r="21" spans="1:6" ht="16.5">
      <c r="A21" s="376"/>
      <c r="B21" s="427" t="s">
        <v>1248</v>
      </c>
      <c r="C21" s="449" t="s">
        <v>113</v>
      </c>
      <c r="D21" s="373">
        <v>1</v>
      </c>
      <c r="E21" s="447"/>
      <c r="F21" s="448">
        <f t="shared" si="0"/>
        <v>0</v>
      </c>
    </row>
    <row r="22" spans="1:6" ht="16.5">
      <c r="A22" s="376"/>
      <c r="B22" s="427"/>
      <c r="C22" s="446"/>
      <c r="D22" s="373"/>
      <c r="E22" s="447"/>
      <c r="F22" s="448"/>
    </row>
    <row r="23" spans="1:6" ht="57.75">
      <c r="A23" s="445">
        <f>COUNT($A$1:A22)+1</f>
        <v>4</v>
      </c>
      <c r="B23" s="387" t="s">
        <v>1249</v>
      </c>
      <c r="C23" s="449"/>
      <c r="D23" s="449"/>
      <c r="E23" s="447"/>
      <c r="F23" s="448"/>
    </row>
    <row r="24" spans="1:6" ht="45">
      <c r="A24" s="376"/>
      <c r="B24" s="489" t="s">
        <v>1250</v>
      </c>
      <c r="C24" s="449"/>
      <c r="D24" s="449"/>
      <c r="E24" s="447"/>
      <c r="F24" s="448"/>
    </row>
    <row r="25" spans="1:6" ht="16.5">
      <c r="A25" s="376"/>
      <c r="B25" s="488" t="s">
        <v>1214</v>
      </c>
      <c r="C25" s="449"/>
      <c r="D25" s="449"/>
      <c r="E25" s="447"/>
      <c r="F25" s="448"/>
    </row>
    <row r="26" spans="1:6" ht="16.5">
      <c r="A26" s="376"/>
      <c r="B26" s="490" t="s">
        <v>1251</v>
      </c>
      <c r="C26" s="449" t="s">
        <v>113</v>
      </c>
      <c r="D26" s="449">
        <v>2</v>
      </c>
      <c r="E26" s="447"/>
      <c r="F26" s="448">
        <f t="shared" si="0"/>
        <v>0</v>
      </c>
    </row>
    <row r="27" spans="1:6" ht="16.5">
      <c r="A27" s="376"/>
      <c r="B27" s="427"/>
      <c r="C27" s="446"/>
      <c r="D27" s="373"/>
      <c r="E27" s="447"/>
      <c r="F27" s="448"/>
    </row>
    <row r="28" spans="1:6" ht="45">
      <c r="A28" s="445">
        <f>COUNT($A$1:A27)+1</f>
        <v>5</v>
      </c>
      <c r="B28" s="491" t="s">
        <v>1252</v>
      </c>
      <c r="C28" s="446"/>
      <c r="D28" s="373"/>
      <c r="E28" s="447"/>
      <c r="F28" s="448"/>
    </row>
    <row r="29" spans="1:6" ht="370.5">
      <c r="A29" s="376"/>
      <c r="B29" s="492" t="s">
        <v>1253</v>
      </c>
      <c r="C29" s="446"/>
      <c r="D29" s="373"/>
      <c r="E29" s="447"/>
      <c r="F29" s="448"/>
    </row>
    <row r="30" spans="1:6" ht="16.5">
      <c r="A30" s="376"/>
      <c r="B30" s="492" t="s">
        <v>1254</v>
      </c>
      <c r="C30" s="446"/>
      <c r="D30" s="373"/>
      <c r="E30" s="447"/>
      <c r="F30" s="448"/>
    </row>
    <row r="31" spans="1:6" ht="51" customHeight="1">
      <c r="A31" s="376"/>
      <c r="B31" s="493" t="s">
        <v>1255</v>
      </c>
      <c r="C31" s="446"/>
      <c r="D31" s="373"/>
      <c r="E31" s="447"/>
      <c r="F31" s="448"/>
    </row>
    <row r="32" spans="1:6" ht="16.5">
      <c r="A32" s="376"/>
      <c r="B32" s="493" t="s">
        <v>1256</v>
      </c>
      <c r="C32" s="449" t="s">
        <v>1257</v>
      </c>
      <c r="D32" s="494">
        <v>1</v>
      </c>
      <c r="E32" s="447"/>
      <c r="F32" s="448">
        <f t="shared" si="0"/>
        <v>0</v>
      </c>
    </row>
    <row r="33" spans="1:6" ht="16.5">
      <c r="A33" s="376"/>
      <c r="B33" s="379"/>
      <c r="C33" s="446"/>
      <c r="D33" s="386"/>
      <c r="E33" s="447"/>
      <c r="F33" s="448"/>
    </row>
    <row r="34" spans="1:6" ht="57">
      <c r="A34" s="445">
        <f>COUNT($A$1:A33)+1</f>
        <v>6</v>
      </c>
      <c r="B34" s="387" t="s">
        <v>1258</v>
      </c>
      <c r="C34" s="495"/>
      <c r="D34" s="449"/>
      <c r="E34" s="496"/>
      <c r="F34" s="448"/>
    </row>
    <row r="35" spans="1:6" ht="16.5">
      <c r="A35" s="497"/>
      <c r="B35" s="377"/>
      <c r="C35" s="495" t="s">
        <v>93</v>
      </c>
      <c r="D35" s="449">
        <v>1</v>
      </c>
      <c r="E35" s="496"/>
      <c r="F35" s="448">
        <f t="shared" si="0"/>
        <v>0</v>
      </c>
    </row>
    <row r="36" spans="1:6" ht="16.5">
      <c r="A36" s="497"/>
      <c r="B36" s="377"/>
      <c r="C36" s="495"/>
      <c r="D36" s="449"/>
      <c r="E36" s="496"/>
      <c r="F36" s="448"/>
    </row>
    <row r="37" spans="1:6" ht="28.5">
      <c r="A37" s="445">
        <f>COUNT($A$1:A36)+1</f>
        <v>7</v>
      </c>
      <c r="B37" s="498" t="s">
        <v>1259</v>
      </c>
      <c r="C37" s="499"/>
      <c r="D37" s="500"/>
      <c r="E37" s="496"/>
      <c r="F37" s="448"/>
    </row>
    <row r="38" spans="1:6" ht="16.5">
      <c r="A38" s="497"/>
      <c r="B38" s="498" t="s">
        <v>1260</v>
      </c>
      <c r="C38" s="499"/>
      <c r="D38" s="500"/>
      <c r="E38" s="496"/>
      <c r="F38" s="448"/>
    </row>
    <row r="39" spans="1:6" ht="16.5">
      <c r="A39" s="497"/>
      <c r="B39" s="498" t="s">
        <v>1261</v>
      </c>
      <c r="C39" s="499"/>
      <c r="D39" s="500"/>
      <c r="E39" s="496"/>
      <c r="F39" s="448"/>
    </row>
    <row r="40" spans="1:6" ht="28.5">
      <c r="A40" s="497"/>
      <c r="B40" s="498" t="s">
        <v>1262</v>
      </c>
      <c r="C40" s="499"/>
      <c r="D40" s="500"/>
      <c r="E40" s="496"/>
      <c r="F40" s="448"/>
    </row>
    <row r="41" spans="1:6" ht="16.5">
      <c r="A41" s="497"/>
      <c r="B41" s="498"/>
      <c r="C41" s="499" t="s">
        <v>93</v>
      </c>
      <c r="D41" s="500">
        <v>1</v>
      </c>
      <c r="E41" s="496"/>
      <c r="F41" s="448">
        <f t="shared" si="0"/>
        <v>0</v>
      </c>
    </row>
    <row r="42" spans="1:6" ht="16.5">
      <c r="A42" s="497"/>
      <c r="B42" s="387"/>
      <c r="C42" s="499"/>
      <c r="D42" s="500"/>
      <c r="E42" s="496"/>
      <c r="F42" s="448"/>
    </row>
    <row r="43" spans="1:6" ht="28.5">
      <c r="A43" s="445">
        <f>COUNT($A$1:A42)+1</f>
        <v>8</v>
      </c>
      <c r="B43" s="387" t="s">
        <v>1141</v>
      </c>
      <c r="C43" s="495"/>
      <c r="D43" s="449"/>
      <c r="E43" s="496"/>
      <c r="F43" s="448"/>
    </row>
    <row r="44" spans="1:6" ht="16.5">
      <c r="A44" s="497"/>
      <c r="B44" s="387"/>
      <c r="C44" s="501" t="s">
        <v>93</v>
      </c>
      <c r="D44" s="449">
        <v>1</v>
      </c>
      <c r="E44" s="496"/>
      <c r="F44" s="448">
        <f t="shared" si="0"/>
        <v>0</v>
      </c>
    </row>
    <row r="45" spans="1:6" ht="16.5">
      <c r="A45" s="497"/>
      <c r="B45" s="387"/>
      <c r="C45" s="495"/>
      <c r="D45" s="449"/>
      <c r="E45" s="496"/>
      <c r="F45" s="448"/>
    </row>
    <row r="46" spans="1:6" ht="42.75">
      <c r="A46" s="445">
        <f>COUNT($A$1:A45)+1</f>
        <v>9</v>
      </c>
      <c r="B46" s="387" t="s">
        <v>1235</v>
      </c>
      <c r="C46" s="446"/>
      <c r="D46" s="449"/>
      <c r="E46" s="502"/>
      <c r="F46" s="448"/>
    </row>
    <row r="47" spans="1:6" ht="16.5">
      <c r="A47" s="371"/>
      <c r="B47" s="387"/>
      <c r="C47" s="446" t="s">
        <v>93</v>
      </c>
      <c r="D47" s="449">
        <v>3</v>
      </c>
      <c r="E47" s="502"/>
      <c r="F47" s="448">
        <f t="shared" si="0"/>
        <v>0</v>
      </c>
    </row>
    <row r="48" spans="1:6" ht="16.5">
      <c r="A48" s="371"/>
      <c r="B48" s="387"/>
      <c r="C48" s="499"/>
      <c r="D48" s="503"/>
      <c r="E48" s="502"/>
      <c r="F48" s="472"/>
    </row>
    <row r="49" spans="1:6" ht="45">
      <c r="A49" s="445">
        <f>COUNT($A$1:A47)+1</f>
        <v>10</v>
      </c>
      <c r="B49" s="377" t="s">
        <v>1238</v>
      </c>
      <c r="C49" s="446"/>
      <c r="D49" s="438"/>
      <c r="E49" s="502"/>
      <c r="F49" s="504"/>
    </row>
    <row r="50" spans="1:6" ht="16.5">
      <c r="A50" s="371"/>
      <c r="B50" s="505"/>
      <c r="C50" s="506"/>
      <c r="D50" s="507"/>
      <c r="E50" s="508"/>
      <c r="F50" s="509"/>
    </row>
    <row r="51" spans="1:6" ht="16.5">
      <c r="A51" s="371"/>
      <c r="B51" s="398" t="s">
        <v>1145</v>
      </c>
      <c r="C51" s="399"/>
      <c r="D51" s="399"/>
      <c r="E51" s="400"/>
      <c r="F51" s="401">
        <f>SUM(F7:F50)</f>
        <v>0</v>
      </c>
    </row>
    <row r="52" spans="1:6" ht="16.5">
      <c r="A52" s="371"/>
      <c r="B52" s="403" t="s">
        <v>1146</v>
      </c>
      <c r="C52" s="404"/>
      <c r="D52" s="404"/>
      <c r="E52" s="405"/>
      <c r="F52" s="406">
        <f>F51*0.22</f>
        <v>0</v>
      </c>
    </row>
    <row r="53" spans="1:6" ht="16.5">
      <c r="A53" s="371"/>
      <c r="B53" s="407" t="s">
        <v>1147</v>
      </c>
      <c r="C53" s="404"/>
      <c r="D53" s="404"/>
      <c r="E53" s="405"/>
      <c r="F53" s="406">
        <f>F51+F52</f>
        <v>0</v>
      </c>
    </row>
    <row r="54" spans="1:6" ht="16.5">
      <c r="A54" s="371"/>
      <c r="B54" s="510"/>
      <c r="C54" s="511"/>
      <c r="D54" s="479"/>
      <c r="E54" s="480"/>
      <c r="F54" s="481"/>
    </row>
  </sheetData>
  <sheetProtection algorithmName="SHA-512" hashValue="H6bHiOEorg1219MkzihclGOZ7YPnw3t39v2A7NjNa2BFxiDFstVixbgCh6gdXlP54eghfyQxo1EEULwSUnxj9Q==" saltValue="D6tf+icqxRZH59llUcohdA==" spinCount="100000" sheet="1" objects="1" scenarios="1" formatCells="0" formatColumns="0" formatRows="0"/>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B9" sqref="B9"/>
    </sheetView>
  </sheetViews>
  <sheetFormatPr defaultRowHeight="14.25"/>
  <cols>
    <col min="2" max="2" width="45.625" customWidth="1"/>
    <col min="3" max="3" width="11.625" style="883" customWidth="1"/>
  </cols>
  <sheetData>
    <row r="1" spans="1:3" ht="15">
      <c r="A1" s="949" t="s">
        <v>242</v>
      </c>
      <c r="B1" s="950" t="s">
        <v>243</v>
      </c>
      <c r="C1" s="955" t="s">
        <v>244</v>
      </c>
    </row>
    <row r="2" spans="1:3" ht="15">
      <c r="A2" s="956"/>
      <c r="B2" s="957"/>
      <c r="C2" s="958"/>
    </row>
    <row r="3" spans="1:3" ht="15">
      <c r="A3" s="959" t="s">
        <v>964</v>
      </c>
      <c r="B3" s="960" t="s">
        <v>8</v>
      </c>
      <c r="C3" s="961"/>
    </row>
    <row r="4" spans="1:3" ht="15">
      <c r="A4" s="962" t="s">
        <v>89</v>
      </c>
      <c r="B4" s="963" t="s">
        <v>245</v>
      </c>
      <c r="C4" s="900">
        <f>VODOVOD!F24</f>
        <v>0</v>
      </c>
    </row>
    <row r="5" spans="1:3" ht="15">
      <c r="A5" s="962" t="s">
        <v>91</v>
      </c>
      <c r="B5" s="963" t="s">
        <v>12</v>
      </c>
      <c r="C5" s="900">
        <f>VODOVOD!F68</f>
        <v>0</v>
      </c>
    </row>
    <row r="6" spans="1:3" ht="15">
      <c r="A6" s="962" t="s">
        <v>96</v>
      </c>
      <c r="B6" s="963" t="s">
        <v>248</v>
      </c>
      <c r="C6" s="900">
        <f>[4]Vodovod!F86</f>
        <v>0</v>
      </c>
    </row>
    <row r="7" spans="1:3" ht="15">
      <c r="A7" s="962" t="s">
        <v>101</v>
      </c>
      <c r="B7" s="963" t="s">
        <v>1300</v>
      </c>
      <c r="C7" s="900">
        <f>VODOVOD!F105</f>
        <v>0</v>
      </c>
    </row>
    <row r="8" spans="1:3" ht="15">
      <c r="A8" s="962" t="s">
        <v>102</v>
      </c>
      <c r="B8" s="963" t="s">
        <v>250</v>
      </c>
      <c r="C8" s="900">
        <f>VODOVOD!F124</f>
        <v>0</v>
      </c>
    </row>
    <row r="9" spans="1:3" ht="15">
      <c r="A9" s="962"/>
      <c r="B9" s="963"/>
      <c r="C9" s="958"/>
    </row>
    <row r="10" spans="1:3" ht="15">
      <c r="A10" s="964"/>
      <c r="B10" s="960" t="s">
        <v>251</v>
      </c>
      <c r="C10" s="965">
        <f>SUM(C4:C9)</f>
        <v>0</v>
      </c>
    </row>
    <row r="11" spans="1:3" ht="15">
      <c r="A11" s="956"/>
      <c r="B11" s="957"/>
      <c r="C11" s="958"/>
    </row>
    <row r="12" spans="1:3" ht="15">
      <c r="A12" s="966"/>
      <c r="B12" s="967" t="s">
        <v>252</v>
      </c>
      <c r="C12" s="968">
        <f>C10*0.22</f>
        <v>0</v>
      </c>
    </row>
    <row r="13" spans="1:3" ht="15.75" thickBot="1">
      <c r="A13" s="969"/>
      <c r="B13" s="970" t="s">
        <v>251</v>
      </c>
      <c r="C13" s="971">
        <f>C10+C12</f>
        <v>0</v>
      </c>
    </row>
    <row r="14" spans="1:3" ht="15" thickTop="1">
      <c r="A14" s="320"/>
      <c r="B14" s="321"/>
      <c r="C14" s="902"/>
    </row>
    <row r="15" spans="1:3">
      <c r="A15" s="320"/>
      <c r="B15" s="321"/>
      <c r="C15" s="902"/>
    </row>
    <row r="16" spans="1:3">
      <c r="A16" s="320"/>
      <c r="B16" s="331"/>
      <c r="C16" s="902"/>
    </row>
    <row r="17" spans="1:3">
      <c r="A17" s="320"/>
      <c r="B17" s="321"/>
      <c r="C17" s="902"/>
    </row>
    <row r="18" spans="1:3">
      <c r="A18" s="320"/>
      <c r="B18" s="321"/>
      <c r="C18" s="902"/>
    </row>
    <row r="19" spans="1:3">
      <c r="A19" s="320"/>
      <c r="B19" s="321"/>
      <c r="C19" s="902"/>
    </row>
    <row r="20" spans="1:3">
      <c r="A20" s="320"/>
      <c r="B20" s="321"/>
      <c r="C20" s="902"/>
    </row>
    <row r="21" spans="1:3">
      <c r="A21" s="320"/>
      <c r="B21" s="321"/>
      <c r="C21" s="902"/>
    </row>
  </sheetData>
  <sheetProtection algorithmName="SHA-512" hashValue="myachosO+sgCYGKsnEGWAXvUxJB127R3qH8k91LBk8jEGtIGgZOHPB8ZHairHi9ntwBXwrhuhZhyUEFQP7VN/w==" saltValue="aZTtta0LiE77xD8PLXlHhg==" spinCount="100000" sheet="1" objects="1" scenarios="1" formatCells="0" formatColumns="0" formatRows="0"/>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workbookViewId="0">
      <selection activeCell="G7" sqref="G7"/>
    </sheetView>
  </sheetViews>
  <sheetFormatPr defaultRowHeight="14.25"/>
  <cols>
    <col min="1" max="1" width="5.75" customWidth="1"/>
    <col min="2" max="2" width="55" customWidth="1"/>
    <col min="5" max="5" width="9.125" style="849" bestFit="1" customWidth="1"/>
    <col min="6" max="6" width="10.875" style="883" bestFit="1" customWidth="1"/>
  </cols>
  <sheetData>
    <row r="1" spans="1:6" ht="25.5">
      <c r="A1" s="513" t="s">
        <v>850</v>
      </c>
      <c r="B1" s="514" t="s">
        <v>243</v>
      </c>
      <c r="C1" s="515" t="s">
        <v>253</v>
      </c>
      <c r="D1" s="516" t="s">
        <v>254</v>
      </c>
      <c r="E1" s="826" t="s">
        <v>255</v>
      </c>
      <c r="F1" s="945" t="s">
        <v>244</v>
      </c>
    </row>
    <row r="2" spans="1:6">
      <c r="A2" s="326"/>
      <c r="B2" s="327"/>
      <c r="C2" s="328"/>
      <c r="D2" s="329"/>
      <c r="E2" s="825"/>
      <c r="F2" s="946"/>
    </row>
    <row r="3" spans="1:6">
      <c r="A3" s="330" t="s">
        <v>89</v>
      </c>
      <c r="B3" s="331" t="s">
        <v>245</v>
      </c>
      <c r="C3" s="332"/>
      <c r="D3" s="333"/>
      <c r="E3" s="826"/>
      <c r="F3" s="947"/>
    </row>
    <row r="4" spans="1:6">
      <c r="A4" s="326"/>
      <c r="B4" s="331"/>
      <c r="C4" s="334"/>
      <c r="D4" s="335"/>
      <c r="E4" s="827"/>
      <c r="F4" s="948"/>
    </row>
    <row r="5" spans="1:6">
      <c r="A5" s="330" t="s">
        <v>256</v>
      </c>
      <c r="B5" s="331" t="s">
        <v>257</v>
      </c>
      <c r="C5" s="334"/>
      <c r="D5" s="335"/>
      <c r="E5" s="827"/>
      <c r="F5" s="948"/>
    </row>
    <row r="6" spans="1:6">
      <c r="A6" s="326"/>
      <c r="B6" s="327"/>
      <c r="C6" s="336"/>
      <c r="D6" s="329"/>
      <c r="E6" s="825"/>
      <c r="F6" s="946"/>
    </row>
    <row r="7" spans="1:6" ht="25.5">
      <c r="A7" s="326" t="s">
        <v>258</v>
      </c>
      <c r="B7" s="327" t="s">
        <v>1269</v>
      </c>
      <c r="C7" s="336"/>
      <c r="D7" s="329"/>
      <c r="E7" s="825"/>
      <c r="F7" s="946"/>
    </row>
    <row r="8" spans="1:6">
      <c r="A8" s="326"/>
      <c r="B8" s="327"/>
      <c r="C8" s="328">
        <v>166.07</v>
      </c>
      <c r="D8" s="329" t="s">
        <v>108</v>
      </c>
      <c r="E8" s="829"/>
      <c r="F8" s="936">
        <f>ROUND(ROUND(C8,2)*ROUND(E8,2),2)</f>
        <v>0</v>
      </c>
    </row>
    <row r="9" spans="1:6">
      <c r="A9" s="326"/>
      <c r="B9" s="327"/>
      <c r="C9" s="328"/>
      <c r="D9" s="329"/>
      <c r="E9" s="825"/>
      <c r="F9" s="946"/>
    </row>
    <row r="10" spans="1:6">
      <c r="A10" s="330" t="s">
        <v>256</v>
      </c>
      <c r="B10" s="331" t="s">
        <v>263</v>
      </c>
      <c r="C10" s="334"/>
      <c r="D10" s="335"/>
      <c r="E10" s="827"/>
      <c r="F10" s="972">
        <f>SUM(F8:F9)</f>
        <v>0</v>
      </c>
    </row>
    <row r="11" spans="1:6">
      <c r="A11" s="330"/>
      <c r="B11" s="331"/>
      <c r="C11" s="334"/>
      <c r="D11" s="335"/>
      <c r="E11" s="827"/>
      <c r="F11" s="948"/>
    </row>
    <row r="12" spans="1:6">
      <c r="A12" s="330" t="s">
        <v>264</v>
      </c>
      <c r="B12" s="331" t="s">
        <v>292</v>
      </c>
      <c r="C12" s="334"/>
      <c r="D12" s="335"/>
      <c r="E12" s="827"/>
      <c r="F12" s="948"/>
    </row>
    <row r="13" spans="1:6">
      <c r="A13" s="330"/>
      <c r="B13" s="331"/>
      <c r="C13" s="334"/>
      <c r="D13" s="335"/>
      <c r="E13" s="827"/>
      <c r="F13" s="948"/>
    </row>
    <row r="14" spans="1:6" ht="38.25">
      <c r="A14" s="337" t="s">
        <v>266</v>
      </c>
      <c r="B14" s="327" t="s">
        <v>1092</v>
      </c>
      <c r="C14" s="328"/>
      <c r="D14" s="329"/>
      <c r="E14" s="825"/>
      <c r="F14" s="946"/>
    </row>
    <row r="15" spans="1:6">
      <c r="A15" s="337"/>
      <c r="B15" s="327"/>
      <c r="C15" s="328">
        <v>10</v>
      </c>
      <c r="D15" s="329" t="s">
        <v>108</v>
      </c>
      <c r="E15" s="829"/>
      <c r="F15" s="936">
        <f>ROUND(ROUND(157,2)*ROUND(E15,2),2)</f>
        <v>0</v>
      </c>
    </row>
    <row r="16" spans="1:6">
      <c r="A16" s="337"/>
      <c r="B16" s="327"/>
      <c r="C16" s="328"/>
      <c r="D16" s="329"/>
      <c r="E16" s="825"/>
      <c r="F16" s="936"/>
    </row>
    <row r="17" spans="1:6" ht="25.5">
      <c r="A17" s="337" t="s">
        <v>268</v>
      </c>
      <c r="B17" s="327" t="s">
        <v>1270</v>
      </c>
      <c r="C17" s="328"/>
      <c r="D17" s="329"/>
      <c r="E17" s="825"/>
      <c r="F17" s="936"/>
    </row>
    <row r="18" spans="1:6">
      <c r="A18" s="337"/>
      <c r="B18" s="327"/>
      <c r="C18" s="328">
        <f>ROUNDUP(C8/10,0)</f>
        <v>17</v>
      </c>
      <c r="D18" s="329" t="s">
        <v>1090</v>
      </c>
      <c r="E18" s="829"/>
      <c r="F18" s="936">
        <f t="shared" ref="F18" si="0">ROUND(ROUND(157,2)*ROUND(E18,2),2)</f>
        <v>0</v>
      </c>
    </row>
    <row r="19" spans="1:6">
      <c r="A19" s="337"/>
      <c r="B19" s="327"/>
      <c r="C19" s="328"/>
      <c r="D19" s="329"/>
      <c r="E19" s="825"/>
      <c r="F19" s="946"/>
    </row>
    <row r="20" spans="1:6" ht="25.5">
      <c r="A20" s="337"/>
      <c r="B20" s="526" t="s">
        <v>1271</v>
      </c>
      <c r="C20" s="328"/>
      <c r="D20" s="329"/>
      <c r="E20" s="825"/>
      <c r="F20" s="946"/>
    </row>
    <row r="21" spans="1:6">
      <c r="A21" s="337"/>
      <c r="B21" s="327"/>
      <c r="C21" s="328"/>
      <c r="D21" s="329"/>
      <c r="E21" s="825"/>
      <c r="F21" s="946"/>
    </row>
    <row r="22" spans="1:6">
      <c r="A22" s="330" t="s">
        <v>264</v>
      </c>
      <c r="B22" s="331" t="s">
        <v>297</v>
      </c>
      <c r="C22" s="334"/>
      <c r="D22" s="335"/>
      <c r="E22" s="827"/>
      <c r="F22" s="972">
        <f>SUM(F15:F20)</f>
        <v>0</v>
      </c>
    </row>
    <row r="23" spans="1:6">
      <c r="A23" s="337"/>
      <c r="B23" s="327"/>
      <c r="C23" s="517"/>
      <c r="D23" s="518"/>
      <c r="E23" s="837"/>
      <c r="F23" s="973"/>
    </row>
    <row r="24" spans="1:6">
      <c r="A24" s="330" t="s">
        <v>89</v>
      </c>
      <c r="B24" s="331" t="s">
        <v>298</v>
      </c>
      <c r="C24" s="332"/>
      <c r="D24" s="333"/>
      <c r="E24" s="826"/>
      <c r="F24" s="972">
        <f>F22+F10</f>
        <v>0</v>
      </c>
    </row>
    <row r="25" spans="1:6">
      <c r="A25" s="326"/>
      <c r="B25" s="327"/>
      <c r="C25" s="328"/>
      <c r="D25" s="329"/>
      <c r="E25" s="825"/>
      <c r="F25" s="946"/>
    </row>
    <row r="26" spans="1:6">
      <c r="A26" s="330" t="s">
        <v>91</v>
      </c>
      <c r="B26" s="331" t="s">
        <v>12</v>
      </c>
      <c r="C26" s="332"/>
      <c r="D26" s="333"/>
      <c r="E26" s="826"/>
      <c r="F26" s="947"/>
    </row>
    <row r="27" spans="1:6">
      <c r="A27" s="330"/>
      <c r="B27" s="331"/>
      <c r="C27" s="332"/>
      <c r="D27" s="333"/>
      <c r="E27" s="826"/>
      <c r="F27" s="947"/>
    </row>
    <row r="28" spans="1:6">
      <c r="A28" s="330"/>
      <c r="B28" s="331" t="s">
        <v>1088</v>
      </c>
      <c r="C28" s="331"/>
      <c r="D28" s="331"/>
      <c r="E28" s="850"/>
      <c r="F28" s="974"/>
    </row>
    <row r="29" spans="1:6">
      <c r="A29" s="350"/>
      <c r="B29" s="265"/>
      <c r="C29" s="351"/>
      <c r="D29" s="133"/>
      <c r="E29" s="825"/>
      <c r="F29" s="946"/>
    </row>
    <row r="30" spans="1:6">
      <c r="A30" s="330" t="s">
        <v>725</v>
      </c>
      <c r="B30" s="331" t="s">
        <v>736</v>
      </c>
      <c r="C30" s="334"/>
      <c r="D30" s="335"/>
      <c r="E30" s="827"/>
      <c r="F30" s="948"/>
    </row>
    <row r="31" spans="1:6">
      <c r="A31" s="330"/>
      <c r="B31" s="331"/>
      <c r="C31" s="334"/>
      <c r="D31" s="335"/>
      <c r="E31" s="827"/>
      <c r="F31" s="948"/>
    </row>
    <row r="32" spans="1:6" ht="25.5">
      <c r="A32" s="337" t="s">
        <v>735</v>
      </c>
      <c r="B32" s="268" t="s">
        <v>1272</v>
      </c>
      <c r="C32" s="328"/>
      <c r="D32" s="329"/>
      <c r="E32" s="825"/>
      <c r="F32" s="946"/>
    </row>
    <row r="33" spans="1:6">
      <c r="A33" s="326"/>
      <c r="B33" s="268" t="s">
        <v>260</v>
      </c>
      <c r="C33" s="328">
        <v>13</v>
      </c>
      <c r="D33" s="329" t="s">
        <v>98</v>
      </c>
      <c r="E33" s="829"/>
      <c r="F33" s="936">
        <f>ROUND(ROUND(C33,2)*ROUND(E33,2),2)</f>
        <v>0</v>
      </c>
    </row>
    <row r="34" spans="1:6">
      <c r="A34" s="330"/>
      <c r="B34" s="331"/>
      <c r="C34" s="334"/>
      <c r="D34" s="335"/>
      <c r="E34" s="827"/>
      <c r="F34" s="936"/>
    </row>
    <row r="35" spans="1:6" ht="25.5">
      <c r="A35" s="519"/>
      <c r="B35" s="268" t="s">
        <v>1273</v>
      </c>
      <c r="C35" s="328"/>
      <c r="D35" s="329"/>
      <c r="E35" s="825"/>
      <c r="F35" s="936"/>
    </row>
    <row r="36" spans="1:6">
      <c r="A36" s="337"/>
      <c r="B36" s="268" t="s">
        <v>433</v>
      </c>
      <c r="C36" s="328">
        <v>190</v>
      </c>
      <c r="D36" s="329"/>
      <c r="E36" s="825"/>
      <c r="F36" s="936"/>
    </row>
    <row r="37" spans="1:6">
      <c r="A37" s="337" t="s">
        <v>733</v>
      </c>
      <c r="B37" s="268" t="s">
        <v>1084</v>
      </c>
      <c r="C37" s="328">
        <f>C36*0.6</f>
        <v>114</v>
      </c>
      <c r="D37" s="133" t="s">
        <v>98</v>
      </c>
      <c r="E37" s="829"/>
      <c r="F37" s="936">
        <f t="shared" ref="F37:F39" si="1">ROUND(ROUND(C37,2)*ROUND(E37,2),2)</f>
        <v>0</v>
      </c>
    </row>
    <row r="38" spans="1:6">
      <c r="A38" s="337" t="s">
        <v>731</v>
      </c>
      <c r="B38" s="268" t="s">
        <v>1083</v>
      </c>
      <c r="C38" s="328">
        <f>C36*0.35</f>
        <v>66.5</v>
      </c>
      <c r="D38" s="133" t="s">
        <v>98</v>
      </c>
      <c r="E38" s="829"/>
      <c r="F38" s="936">
        <f t="shared" si="1"/>
        <v>0</v>
      </c>
    </row>
    <row r="39" spans="1:6">
      <c r="A39" s="337" t="s">
        <v>729</v>
      </c>
      <c r="B39" s="268" t="s">
        <v>1082</v>
      </c>
      <c r="C39" s="328">
        <f>C36*0.05</f>
        <v>9.5</v>
      </c>
      <c r="D39" s="329" t="s">
        <v>98</v>
      </c>
      <c r="E39" s="829"/>
      <c r="F39" s="936">
        <f t="shared" si="1"/>
        <v>0</v>
      </c>
    </row>
    <row r="40" spans="1:6">
      <c r="A40" s="330"/>
      <c r="B40" s="331"/>
      <c r="C40" s="334"/>
      <c r="D40" s="335"/>
      <c r="E40" s="827"/>
      <c r="F40" s="948"/>
    </row>
    <row r="41" spans="1:6">
      <c r="A41" s="330" t="s">
        <v>725</v>
      </c>
      <c r="B41" s="331" t="s">
        <v>724</v>
      </c>
      <c r="C41" s="334"/>
      <c r="D41" s="335"/>
      <c r="E41" s="827"/>
      <c r="F41" s="972">
        <f>SUM(F33:F40)</f>
        <v>0</v>
      </c>
    </row>
    <row r="42" spans="1:6">
      <c r="A42" s="266"/>
      <c r="B42" s="265"/>
      <c r="C42" s="351"/>
      <c r="D42" s="133"/>
      <c r="E42" s="825"/>
      <c r="F42" s="946"/>
    </row>
    <row r="43" spans="1:6">
      <c r="A43" s="330" t="s">
        <v>716</v>
      </c>
      <c r="B43" s="331" t="s">
        <v>1049</v>
      </c>
      <c r="C43" s="334"/>
      <c r="D43" s="335"/>
      <c r="E43" s="827"/>
      <c r="F43" s="948"/>
    </row>
    <row r="44" spans="1:6">
      <c r="A44" s="330"/>
      <c r="B44" s="331"/>
      <c r="C44" s="334"/>
      <c r="D44" s="335"/>
      <c r="E44" s="827"/>
      <c r="F44" s="948"/>
    </row>
    <row r="45" spans="1:6" ht="25.5">
      <c r="A45" s="337" t="s">
        <v>722</v>
      </c>
      <c r="B45" s="268" t="s">
        <v>1046</v>
      </c>
      <c r="C45" s="328"/>
      <c r="D45" s="329"/>
      <c r="E45" s="825"/>
      <c r="F45" s="946"/>
    </row>
    <row r="46" spans="1:6">
      <c r="A46" s="326"/>
      <c r="B46" s="268"/>
      <c r="C46" s="328">
        <f>0.43*C8</f>
        <v>71.4101</v>
      </c>
      <c r="D46" s="329" t="s">
        <v>100</v>
      </c>
      <c r="E46" s="829"/>
      <c r="F46" s="936">
        <f>ROUND(ROUND(C46,2)*ROUND(E46,2),2)</f>
        <v>0</v>
      </c>
    </row>
    <row r="47" spans="1:6">
      <c r="A47" s="326"/>
      <c r="B47" s="268"/>
      <c r="C47" s="328"/>
      <c r="D47" s="329"/>
      <c r="E47" s="825"/>
      <c r="F47" s="936"/>
    </row>
    <row r="48" spans="1:6" ht="38.25">
      <c r="A48" s="337" t="s">
        <v>720</v>
      </c>
      <c r="B48" s="268" t="s">
        <v>1043</v>
      </c>
      <c r="C48" s="328"/>
      <c r="D48" s="329"/>
      <c r="E48" s="825"/>
      <c r="F48" s="936"/>
    </row>
    <row r="49" spans="1:6">
      <c r="A49" s="326"/>
      <c r="B49" s="268"/>
      <c r="C49" s="328">
        <f>0.05*C8</f>
        <v>8.3034999999999997</v>
      </c>
      <c r="D49" s="329" t="s">
        <v>98</v>
      </c>
      <c r="E49" s="829"/>
      <c r="F49" s="936">
        <f t="shared" ref="F49:F61" si="2">ROUND(ROUND(C49,2)*ROUND(E49,2),2)</f>
        <v>0</v>
      </c>
    </row>
    <row r="50" spans="1:6">
      <c r="A50" s="326"/>
      <c r="B50" s="268"/>
      <c r="C50" s="328"/>
      <c r="D50" s="329"/>
      <c r="E50" s="825"/>
      <c r="F50" s="936"/>
    </row>
    <row r="51" spans="1:6" ht="63.75">
      <c r="A51" s="337" t="s">
        <v>718</v>
      </c>
      <c r="B51" s="268" t="s">
        <v>1037</v>
      </c>
      <c r="C51" s="328"/>
      <c r="D51" s="329"/>
      <c r="E51" s="825"/>
      <c r="F51" s="936"/>
    </row>
    <row r="52" spans="1:6">
      <c r="A52" s="326"/>
      <c r="B52" s="268"/>
      <c r="C52" s="328">
        <v>29.16</v>
      </c>
      <c r="D52" s="329" t="s">
        <v>98</v>
      </c>
      <c r="E52" s="829"/>
      <c r="F52" s="936">
        <f t="shared" si="2"/>
        <v>0</v>
      </c>
    </row>
    <row r="53" spans="1:6">
      <c r="A53" s="326"/>
      <c r="B53" s="268"/>
      <c r="C53" s="520"/>
      <c r="D53" s="329"/>
      <c r="E53" s="825"/>
      <c r="F53" s="936"/>
    </row>
    <row r="54" spans="1:6" ht="38.25">
      <c r="A54" s="337" t="s">
        <v>1042</v>
      </c>
      <c r="B54" s="268" t="s">
        <v>1031</v>
      </c>
      <c r="C54" s="520"/>
      <c r="D54" s="329"/>
      <c r="E54" s="825"/>
      <c r="F54" s="936"/>
    </row>
    <row r="55" spans="1:6">
      <c r="A55" s="326"/>
      <c r="B55" s="268"/>
      <c r="C55" s="328">
        <v>165.23</v>
      </c>
      <c r="D55" s="329" t="s">
        <v>98</v>
      </c>
      <c r="E55" s="829"/>
      <c r="F55" s="936">
        <f t="shared" si="2"/>
        <v>0</v>
      </c>
    </row>
    <row r="56" spans="1:6">
      <c r="A56" s="326"/>
      <c r="B56" s="268"/>
      <c r="C56" s="328"/>
      <c r="D56" s="329"/>
      <c r="E56" s="825"/>
      <c r="F56" s="936"/>
    </row>
    <row r="57" spans="1:6" ht="25.5">
      <c r="A57" s="337" t="s">
        <v>1040</v>
      </c>
      <c r="B57" s="268" t="s">
        <v>1274</v>
      </c>
      <c r="C57" s="328"/>
      <c r="D57" s="329"/>
      <c r="E57" s="825"/>
      <c r="F57" s="936"/>
    </row>
    <row r="58" spans="1:6">
      <c r="A58" s="326"/>
      <c r="B58" s="268"/>
      <c r="C58" s="328">
        <f>(C36+C33-C55)*1.7</f>
        <v>64.209000000000017</v>
      </c>
      <c r="D58" s="329" t="s">
        <v>98</v>
      </c>
      <c r="E58" s="829"/>
      <c r="F58" s="936">
        <f t="shared" si="2"/>
        <v>0</v>
      </c>
    </row>
    <row r="59" spans="1:6">
      <c r="A59" s="326"/>
      <c r="B59" s="268"/>
      <c r="C59" s="328"/>
      <c r="D59" s="329"/>
      <c r="E59" s="825"/>
      <c r="F59" s="936"/>
    </row>
    <row r="60" spans="1:6">
      <c r="A60" s="337" t="s">
        <v>1038</v>
      </c>
      <c r="B60" s="268" t="s">
        <v>1025</v>
      </c>
      <c r="C60" s="328"/>
      <c r="D60" s="329"/>
      <c r="E60" s="825"/>
      <c r="F60" s="936"/>
    </row>
    <row r="61" spans="1:6">
      <c r="A61" s="326"/>
      <c r="B61" s="268"/>
      <c r="C61" s="328">
        <v>20</v>
      </c>
      <c r="D61" s="329" t="s">
        <v>121</v>
      </c>
      <c r="E61" s="829"/>
      <c r="F61" s="936">
        <f t="shared" si="2"/>
        <v>0</v>
      </c>
    </row>
    <row r="62" spans="1:6">
      <c r="A62" s="326"/>
      <c r="B62" s="268"/>
      <c r="C62" s="328"/>
      <c r="D62" s="329"/>
      <c r="E62" s="825"/>
      <c r="F62" s="946"/>
    </row>
    <row r="63" spans="1:6">
      <c r="A63" s="330" t="s">
        <v>716</v>
      </c>
      <c r="B63" s="331" t="s">
        <v>1024</v>
      </c>
      <c r="C63" s="334"/>
      <c r="D63" s="335"/>
      <c r="E63" s="827"/>
      <c r="F63" s="972">
        <f>SUM(F46:F61)</f>
        <v>0</v>
      </c>
    </row>
    <row r="64" spans="1:6">
      <c r="A64" s="330"/>
      <c r="B64" s="331"/>
      <c r="C64" s="334"/>
      <c r="D64" s="335"/>
      <c r="E64" s="827"/>
      <c r="F64" s="948"/>
    </row>
    <row r="65" spans="1:6" ht="25.5">
      <c r="A65" s="337" t="s">
        <v>1036</v>
      </c>
      <c r="B65" s="268" t="s">
        <v>1275</v>
      </c>
      <c r="C65" s="328"/>
      <c r="D65" s="133"/>
      <c r="E65" s="825"/>
      <c r="F65" s="946"/>
    </row>
    <row r="66" spans="1:6">
      <c r="A66" s="266"/>
      <c r="B66" s="265"/>
      <c r="C66" s="521"/>
      <c r="D66" s="133"/>
      <c r="E66" s="848"/>
      <c r="F66" s="946"/>
    </row>
    <row r="67" spans="1:6">
      <c r="A67" s="330"/>
      <c r="B67" s="331"/>
      <c r="C67" s="334"/>
      <c r="D67" s="335"/>
      <c r="E67" s="827"/>
      <c r="F67" s="948"/>
    </row>
    <row r="68" spans="1:6">
      <c r="A68" s="330" t="s">
        <v>91</v>
      </c>
      <c r="B68" s="331" t="s">
        <v>1021</v>
      </c>
      <c r="C68" s="332"/>
      <c r="D68" s="333"/>
      <c r="E68" s="826"/>
      <c r="F68" s="972">
        <f>F63+F41</f>
        <v>0</v>
      </c>
    </row>
    <row r="69" spans="1:6">
      <c r="A69" s="330"/>
      <c r="B69" s="331"/>
      <c r="C69" s="332"/>
      <c r="D69" s="333"/>
      <c r="E69" s="826"/>
      <c r="F69" s="947"/>
    </row>
    <row r="70" spans="1:6">
      <c r="A70" s="330" t="s">
        <v>96</v>
      </c>
      <c r="B70" s="331" t="s">
        <v>248</v>
      </c>
      <c r="C70" s="332"/>
      <c r="D70" s="333"/>
      <c r="E70" s="826"/>
      <c r="F70" s="947"/>
    </row>
    <row r="71" spans="1:6">
      <c r="A71" s="522"/>
      <c r="B71" s="331"/>
      <c r="C71" s="527"/>
      <c r="D71" s="528"/>
      <c r="E71" s="848"/>
      <c r="F71" s="975"/>
    </row>
    <row r="72" spans="1:6" ht="51">
      <c r="A72" s="337" t="s">
        <v>1020</v>
      </c>
      <c r="B72" s="268" t="s">
        <v>1276</v>
      </c>
      <c r="C72" s="328"/>
      <c r="D72" s="329"/>
      <c r="E72" s="825"/>
      <c r="F72" s="946"/>
    </row>
    <row r="73" spans="1:6">
      <c r="A73" s="519"/>
      <c r="B73" s="268"/>
      <c r="C73" s="328">
        <v>1</v>
      </c>
      <c r="D73" s="329" t="s">
        <v>113</v>
      </c>
      <c r="E73" s="829"/>
      <c r="F73" s="936">
        <f>ROUND(ROUND(C73,2)*ROUND(E73,2),2)</f>
        <v>0</v>
      </c>
    </row>
    <row r="74" spans="1:6">
      <c r="A74" s="519"/>
      <c r="B74" s="268"/>
      <c r="C74" s="328"/>
      <c r="D74" s="329"/>
      <c r="E74" s="825"/>
      <c r="F74" s="936"/>
    </row>
    <row r="75" spans="1:6" ht="25.5">
      <c r="A75" s="337" t="s">
        <v>1018</v>
      </c>
      <c r="B75" s="268" t="s">
        <v>1015</v>
      </c>
      <c r="C75" s="328"/>
      <c r="D75" s="329"/>
      <c r="E75" s="825"/>
      <c r="F75" s="936"/>
    </row>
    <row r="76" spans="1:6">
      <c r="A76" s="519"/>
      <c r="B76" s="268"/>
      <c r="C76" s="328">
        <v>2</v>
      </c>
      <c r="D76" s="329" t="s">
        <v>113</v>
      </c>
      <c r="E76" s="829"/>
      <c r="F76" s="936">
        <f t="shared" ref="F76:F81" si="3">ROUND(ROUND(C76,2)*ROUND(E76,2),2)</f>
        <v>0</v>
      </c>
    </row>
    <row r="77" spans="1:6">
      <c r="A77" s="519"/>
      <c r="B77" s="268"/>
      <c r="C77" s="328"/>
      <c r="D77" s="329"/>
      <c r="E77" s="825"/>
      <c r="F77" s="936"/>
    </row>
    <row r="78" spans="1:6">
      <c r="A78" s="519"/>
      <c r="B78" s="523" t="s">
        <v>1277</v>
      </c>
      <c r="C78" s="328"/>
      <c r="D78" s="329"/>
      <c r="E78" s="825"/>
      <c r="F78" s="936"/>
    </row>
    <row r="79" spans="1:6">
      <c r="A79" s="519"/>
      <c r="B79" s="523"/>
      <c r="C79" s="328"/>
      <c r="D79" s="329"/>
      <c r="E79" s="825"/>
      <c r="F79" s="936"/>
    </row>
    <row r="80" spans="1:6" ht="76.5">
      <c r="A80" s="337" t="s">
        <v>1278</v>
      </c>
      <c r="B80" s="268" t="s">
        <v>1279</v>
      </c>
      <c r="C80" s="328"/>
      <c r="D80" s="329"/>
      <c r="E80" s="825"/>
      <c r="F80" s="936"/>
    </row>
    <row r="81" spans="1:6">
      <c r="A81" s="326"/>
      <c r="B81" s="523"/>
      <c r="C81" s="328">
        <v>1</v>
      </c>
      <c r="D81" s="329" t="s">
        <v>113</v>
      </c>
      <c r="E81" s="829"/>
      <c r="F81" s="936">
        <f t="shared" si="3"/>
        <v>0</v>
      </c>
    </row>
    <row r="82" spans="1:6">
      <c r="A82" s="326"/>
      <c r="B82" s="523"/>
      <c r="C82" s="328"/>
      <c r="D82" s="329"/>
      <c r="E82" s="825"/>
      <c r="F82" s="936"/>
    </row>
    <row r="83" spans="1:6" ht="76.5">
      <c r="A83" s="337" t="s">
        <v>1280</v>
      </c>
      <c r="B83" s="268" t="s">
        <v>1281</v>
      </c>
      <c r="C83" s="328"/>
      <c r="D83" s="329"/>
      <c r="E83" s="825"/>
      <c r="F83" s="936"/>
    </row>
    <row r="84" spans="1:6">
      <c r="A84" s="326"/>
      <c r="B84" s="523"/>
      <c r="C84" s="328">
        <v>1</v>
      </c>
      <c r="D84" s="329" t="s">
        <v>113</v>
      </c>
      <c r="E84" s="829"/>
      <c r="F84" s="936">
        <f>E84*C84</f>
        <v>0</v>
      </c>
    </row>
    <row r="85" spans="1:6">
      <c r="A85" s="337"/>
      <c r="B85" s="268"/>
      <c r="C85" s="328"/>
      <c r="D85" s="329"/>
      <c r="E85" s="825"/>
      <c r="F85" s="976"/>
    </row>
    <row r="86" spans="1:6">
      <c r="A86" s="330" t="s">
        <v>96</v>
      </c>
      <c r="B86" s="331" t="s">
        <v>393</v>
      </c>
      <c r="C86" s="332"/>
      <c r="D86" s="333"/>
      <c r="E86" s="826"/>
      <c r="F86" s="972">
        <f>SUM(F72:F84)</f>
        <v>0</v>
      </c>
    </row>
    <row r="87" spans="1:6">
      <c r="A87" s="330"/>
      <c r="B87" s="331"/>
      <c r="C87" s="332"/>
      <c r="D87" s="333"/>
      <c r="E87" s="826"/>
      <c r="F87" s="947"/>
    </row>
    <row r="88" spans="1:6">
      <c r="A88" s="330" t="s">
        <v>101</v>
      </c>
      <c r="B88" s="331" t="s">
        <v>1300</v>
      </c>
      <c r="C88" s="332"/>
      <c r="D88" s="333"/>
      <c r="E88" s="826"/>
      <c r="F88" s="947"/>
    </row>
    <row r="89" spans="1:6">
      <c r="A89" s="326"/>
      <c r="B89" s="268"/>
      <c r="C89" s="328"/>
      <c r="D89" s="329"/>
      <c r="E89" s="825"/>
      <c r="F89" s="946"/>
    </row>
    <row r="90" spans="1:6" ht="25.5">
      <c r="A90" s="337" t="s">
        <v>628</v>
      </c>
      <c r="B90" s="268" t="s">
        <v>1282</v>
      </c>
      <c r="C90" s="328"/>
      <c r="D90" s="329"/>
      <c r="E90" s="825"/>
      <c r="F90" s="946"/>
    </row>
    <row r="91" spans="1:6">
      <c r="A91" s="326"/>
      <c r="B91" s="268" t="s">
        <v>1283</v>
      </c>
      <c r="C91" s="328">
        <v>166.07</v>
      </c>
      <c r="D91" s="329" t="s">
        <v>108</v>
      </c>
      <c r="E91" s="829"/>
      <c r="F91" s="936">
        <f>ROUND(ROUND(C91,2)*ROUND(E91,2),2)</f>
        <v>0</v>
      </c>
    </row>
    <row r="92" spans="1:6">
      <c r="A92" s="326"/>
      <c r="B92" s="268"/>
      <c r="C92" s="328"/>
      <c r="D92" s="329"/>
      <c r="E92" s="825"/>
      <c r="F92" s="936"/>
    </row>
    <row r="93" spans="1:6" ht="25.5">
      <c r="A93" s="337" t="s">
        <v>626</v>
      </c>
      <c r="B93" s="268" t="s">
        <v>1284</v>
      </c>
      <c r="C93" s="328"/>
      <c r="D93" s="329"/>
      <c r="E93" s="825"/>
      <c r="F93" s="936"/>
    </row>
    <row r="94" spans="1:6">
      <c r="A94" s="326"/>
      <c r="B94" s="268" t="s">
        <v>1285</v>
      </c>
      <c r="C94" s="328">
        <v>166.07</v>
      </c>
      <c r="D94" s="329" t="s">
        <v>108</v>
      </c>
      <c r="E94" s="829"/>
      <c r="F94" s="936">
        <f t="shared" ref="F94:F103" si="4">ROUND(ROUND(C94,2)*ROUND(E94,2),2)</f>
        <v>0</v>
      </c>
    </row>
    <row r="95" spans="1:6">
      <c r="A95" s="326"/>
      <c r="B95" s="268"/>
      <c r="C95" s="328"/>
      <c r="D95" s="329"/>
      <c r="E95" s="825"/>
      <c r="F95" s="936"/>
    </row>
    <row r="96" spans="1:6" ht="63.75">
      <c r="A96" s="337" t="s">
        <v>1005</v>
      </c>
      <c r="B96" s="268" t="s">
        <v>1286</v>
      </c>
      <c r="C96" s="328"/>
      <c r="D96" s="329"/>
      <c r="E96" s="825"/>
      <c r="F96" s="936"/>
    </row>
    <row r="97" spans="1:6">
      <c r="A97" s="326"/>
      <c r="B97" s="268" t="s">
        <v>1287</v>
      </c>
      <c r="C97" s="328">
        <v>166.07</v>
      </c>
      <c r="D97" s="329" t="s">
        <v>108</v>
      </c>
      <c r="E97" s="829"/>
      <c r="F97" s="936">
        <f t="shared" si="4"/>
        <v>0</v>
      </c>
    </row>
    <row r="98" spans="1:6">
      <c r="A98" s="326"/>
      <c r="B98" s="268"/>
      <c r="C98" s="328"/>
      <c r="D98" s="329"/>
      <c r="E98" s="825"/>
      <c r="F98" s="936"/>
    </row>
    <row r="99" spans="1:6">
      <c r="A99" s="337" t="s">
        <v>1003</v>
      </c>
      <c r="B99" s="268" t="s">
        <v>1288</v>
      </c>
      <c r="C99" s="524"/>
      <c r="D99" s="525"/>
      <c r="E99" s="848"/>
      <c r="F99" s="936"/>
    </row>
    <row r="100" spans="1:6">
      <c r="A100" s="337"/>
      <c r="B100" s="268"/>
      <c r="C100" s="328">
        <v>5</v>
      </c>
      <c r="D100" s="329" t="s">
        <v>260</v>
      </c>
      <c r="E100" s="829"/>
      <c r="F100" s="936">
        <f t="shared" si="4"/>
        <v>0</v>
      </c>
    </row>
    <row r="101" spans="1:6">
      <c r="A101" s="330"/>
      <c r="B101" s="331"/>
      <c r="C101" s="334"/>
      <c r="D101" s="335"/>
      <c r="E101" s="827"/>
      <c r="F101" s="936"/>
    </row>
    <row r="102" spans="1:6" ht="63.75">
      <c r="A102" s="337" t="s">
        <v>1003</v>
      </c>
      <c r="B102" s="268" t="s">
        <v>1289</v>
      </c>
      <c r="C102" s="524"/>
      <c r="D102" s="525"/>
      <c r="E102" s="848"/>
      <c r="F102" s="936"/>
    </row>
    <row r="103" spans="1:6">
      <c r="A103" s="337"/>
      <c r="B103" s="268"/>
      <c r="C103" s="328">
        <v>1</v>
      </c>
      <c r="D103" s="329" t="s">
        <v>113</v>
      </c>
      <c r="E103" s="829"/>
      <c r="F103" s="936">
        <f t="shared" si="4"/>
        <v>0</v>
      </c>
    </row>
    <row r="104" spans="1:6">
      <c r="A104" s="330"/>
      <c r="B104" s="331"/>
      <c r="C104" s="334"/>
      <c r="D104" s="335"/>
      <c r="E104" s="827"/>
      <c r="F104" s="948"/>
    </row>
    <row r="105" spans="1:6">
      <c r="A105" s="330" t="s">
        <v>101</v>
      </c>
      <c r="B105" s="331" t="s">
        <v>1301</v>
      </c>
      <c r="C105" s="332"/>
      <c r="D105" s="333"/>
      <c r="E105" s="826"/>
      <c r="F105" s="972">
        <f>SUM(F90:F104)</f>
        <v>0</v>
      </c>
    </row>
    <row r="106" spans="1:6">
      <c r="A106" s="330"/>
      <c r="B106" s="331"/>
      <c r="C106" s="334"/>
      <c r="D106" s="335"/>
      <c r="E106" s="827"/>
      <c r="F106" s="948"/>
    </row>
    <row r="107" spans="1:6">
      <c r="A107" s="330" t="s">
        <v>102</v>
      </c>
      <c r="B107" s="331" t="s">
        <v>250</v>
      </c>
      <c r="C107" s="332"/>
      <c r="D107" s="333"/>
      <c r="E107" s="826"/>
      <c r="F107" s="947"/>
    </row>
    <row r="108" spans="1:6">
      <c r="A108" s="326"/>
      <c r="B108" s="327"/>
      <c r="C108" s="328"/>
      <c r="D108" s="329"/>
      <c r="E108" s="825"/>
      <c r="F108" s="946"/>
    </row>
    <row r="109" spans="1:6" ht="25.5">
      <c r="A109" s="337" t="s">
        <v>1290</v>
      </c>
      <c r="B109" s="268" t="s">
        <v>1291</v>
      </c>
      <c r="C109" s="328"/>
      <c r="D109" s="329"/>
      <c r="E109" s="825"/>
      <c r="F109" s="946"/>
    </row>
    <row r="110" spans="1:6">
      <c r="A110" s="326"/>
      <c r="B110" s="268"/>
      <c r="C110" s="328">
        <v>1</v>
      </c>
      <c r="D110" s="329" t="s">
        <v>260</v>
      </c>
      <c r="E110" s="829"/>
      <c r="F110" s="936">
        <f>ROUND(ROUND(C110,2)*ROUND(E110,2),2)</f>
        <v>0</v>
      </c>
    </row>
    <row r="111" spans="1:6">
      <c r="A111" s="326"/>
      <c r="B111" s="268"/>
      <c r="C111" s="328"/>
      <c r="D111" s="329"/>
      <c r="E111" s="825"/>
      <c r="F111" s="936"/>
    </row>
    <row r="112" spans="1:6">
      <c r="A112" s="337" t="s">
        <v>1292</v>
      </c>
      <c r="B112" s="327" t="s">
        <v>973</v>
      </c>
      <c r="C112" s="322"/>
      <c r="D112" s="329"/>
      <c r="E112" s="825"/>
      <c r="F112" s="936"/>
    </row>
    <row r="113" spans="1:6">
      <c r="A113" s="337"/>
      <c r="B113" s="327"/>
      <c r="C113" s="328">
        <v>1</v>
      </c>
      <c r="D113" s="329" t="s">
        <v>121</v>
      </c>
      <c r="E113" s="829"/>
      <c r="F113" s="936">
        <f t="shared" ref="F113:F122" si="5">ROUND(ROUND(C113,2)*ROUND(E113,2),2)</f>
        <v>0</v>
      </c>
    </row>
    <row r="114" spans="1:6">
      <c r="A114" s="337"/>
      <c r="B114" s="327"/>
      <c r="C114" s="328"/>
      <c r="D114" s="329"/>
      <c r="E114" s="825"/>
      <c r="F114" s="936"/>
    </row>
    <row r="115" spans="1:6">
      <c r="A115" s="337" t="s">
        <v>1293</v>
      </c>
      <c r="B115" s="268" t="s">
        <v>1294</v>
      </c>
      <c r="C115" s="328"/>
      <c r="D115" s="329"/>
      <c r="E115" s="825"/>
      <c r="F115" s="936"/>
    </row>
    <row r="116" spans="1:6">
      <c r="A116" s="326"/>
      <c r="B116" s="268"/>
      <c r="C116" s="328">
        <f>C8</f>
        <v>166.07</v>
      </c>
      <c r="D116" s="329" t="s">
        <v>108</v>
      </c>
      <c r="E116" s="829"/>
      <c r="F116" s="936">
        <f t="shared" si="5"/>
        <v>0</v>
      </c>
    </row>
    <row r="117" spans="1:6">
      <c r="A117" s="326"/>
      <c r="B117" s="268"/>
      <c r="C117" s="328"/>
      <c r="D117" s="329"/>
      <c r="E117" s="825"/>
      <c r="F117" s="936"/>
    </row>
    <row r="118" spans="1:6" ht="38.25">
      <c r="A118" s="337" t="s">
        <v>1295</v>
      </c>
      <c r="B118" s="268" t="s">
        <v>1296</v>
      </c>
      <c r="C118" s="322"/>
      <c r="D118" s="322"/>
      <c r="E118" s="851"/>
      <c r="F118" s="936"/>
    </row>
    <row r="119" spans="1:6">
      <c r="A119" s="337"/>
      <c r="B119" s="268"/>
      <c r="C119" s="328">
        <f>C116</f>
        <v>166.07</v>
      </c>
      <c r="D119" s="329" t="s">
        <v>108</v>
      </c>
      <c r="E119" s="829"/>
      <c r="F119" s="936">
        <f t="shared" si="5"/>
        <v>0</v>
      </c>
    </row>
    <row r="120" spans="1:6">
      <c r="A120" s="337"/>
      <c r="B120" s="268"/>
      <c r="C120" s="322"/>
      <c r="D120" s="322"/>
      <c r="E120" s="851"/>
      <c r="F120" s="936"/>
    </row>
    <row r="121" spans="1:6" ht="51">
      <c r="A121" s="337" t="s">
        <v>1297</v>
      </c>
      <c r="B121" s="268" t="s">
        <v>1298</v>
      </c>
      <c r="C121" s="322"/>
      <c r="D121" s="322"/>
      <c r="E121" s="851"/>
      <c r="F121" s="936"/>
    </row>
    <row r="122" spans="1:6">
      <c r="A122" s="337"/>
      <c r="B122" s="268"/>
      <c r="C122" s="328">
        <f>C119</f>
        <v>166.07</v>
      </c>
      <c r="D122" s="329" t="s">
        <v>108</v>
      </c>
      <c r="E122" s="829"/>
      <c r="F122" s="936">
        <f t="shared" si="5"/>
        <v>0</v>
      </c>
    </row>
    <row r="123" spans="1:6">
      <c r="A123" s="266"/>
      <c r="B123" s="265"/>
      <c r="C123" s="351"/>
      <c r="D123" s="133"/>
      <c r="E123" s="825"/>
      <c r="F123" s="946"/>
    </row>
    <row r="124" spans="1:6">
      <c r="A124" s="330" t="s">
        <v>102</v>
      </c>
      <c r="B124" s="331" t="s">
        <v>1299</v>
      </c>
      <c r="C124" s="332"/>
      <c r="D124" s="333"/>
      <c r="E124" s="826"/>
      <c r="F124" s="972">
        <f>SUM(F110:F122)</f>
        <v>0</v>
      </c>
    </row>
  </sheetData>
  <sheetProtection algorithmName="SHA-512" hashValue="8MVprVXXsBhdEHvyxVotqeGJD/w7uoyiVPBHJFh3eqwrsiIzzGFOGYXMXkqfsdBM9LK+NaMv8SmloFdC4k6acw==" saltValue="1Gq7h7TdFOO6WCSsJj1fGA==" spinCount="100000" sheet="1" objects="1" scenarios="1" formatCells="0" formatColumns="0" formatRows="0"/>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view="pageBreakPreview" topLeftCell="A16" zoomScale="150" zoomScaleNormal="100" zoomScaleSheetLayoutView="150" workbookViewId="0">
      <selection activeCell="D1" sqref="D1:D1048576"/>
    </sheetView>
  </sheetViews>
  <sheetFormatPr defaultColWidth="8.125" defaultRowHeight="12.75"/>
  <cols>
    <col min="1" max="1" width="6.75" style="193" customWidth="1"/>
    <col min="2" max="2" width="39.875" style="193" customWidth="1"/>
    <col min="3" max="3" width="17.125" style="193" hidden="1" customWidth="1"/>
    <col min="4" max="4" width="19.25" style="983" customWidth="1"/>
    <col min="5" max="5" width="9.25" style="193" customWidth="1"/>
    <col min="6" max="16384" width="8.125" style="193"/>
  </cols>
  <sheetData>
    <row r="1" spans="1:5">
      <c r="A1" s="538" t="s">
        <v>751</v>
      </c>
      <c r="B1" s="534"/>
      <c r="C1" s="534"/>
      <c r="D1" s="977"/>
    </row>
    <row r="2" spans="1:5" ht="10.9" customHeight="1">
      <c r="A2" s="534"/>
      <c r="B2" s="541"/>
      <c r="C2" s="537"/>
      <c r="D2" s="978"/>
    </row>
    <row r="3" spans="1:5" s="196" customFormat="1" ht="14.25">
      <c r="A3" s="529" t="s">
        <v>89</v>
      </c>
      <c r="B3" s="530" t="s">
        <v>750</v>
      </c>
      <c r="C3" s="531"/>
      <c r="D3" s="978">
        <f>ELEKTRO_GD_NN!G84</f>
        <v>0</v>
      </c>
      <c r="E3" s="193"/>
    </row>
    <row r="4" spans="1:5" s="196" customFormat="1" ht="5.25" customHeight="1">
      <c r="A4" s="529"/>
      <c r="B4" s="532"/>
      <c r="C4" s="531"/>
      <c r="D4" s="978"/>
      <c r="E4" s="197"/>
    </row>
    <row r="5" spans="1:5" s="196" customFormat="1" ht="14.25">
      <c r="A5" s="529" t="s">
        <v>91</v>
      </c>
      <c r="B5" s="530" t="s">
        <v>749</v>
      </c>
      <c r="C5" s="531"/>
      <c r="D5" s="978">
        <f>ELEKTRO_EM_NN!G51</f>
        <v>0</v>
      </c>
      <c r="E5" s="193"/>
    </row>
    <row r="6" spans="1:5" s="196" customFormat="1" ht="11.25" customHeight="1">
      <c r="A6" s="529"/>
      <c r="B6" s="532"/>
      <c r="C6" s="531"/>
      <c r="D6" s="978"/>
      <c r="E6" s="197"/>
    </row>
    <row r="7" spans="1:5" s="196" customFormat="1" ht="14.25">
      <c r="A7" s="529" t="s">
        <v>94</v>
      </c>
      <c r="B7" s="530" t="s">
        <v>748</v>
      </c>
      <c r="C7" s="531"/>
      <c r="D7" s="978">
        <f>ELEKTRO_GD_CR!G117</f>
        <v>0</v>
      </c>
      <c r="E7" s="193"/>
    </row>
    <row r="8" spans="1:5" s="196" customFormat="1" ht="10.5" customHeight="1">
      <c r="A8" s="529"/>
      <c r="B8" s="532"/>
      <c r="C8" s="531"/>
      <c r="D8" s="978"/>
      <c r="E8" s="197"/>
    </row>
    <row r="9" spans="1:5" s="199" customFormat="1" ht="14.25">
      <c r="A9" s="529" t="s">
        <v>96</v>
      </c>
      <c r="B9" s="530" t="s">
        <v>747</v>
      </c>
      <c r="C9" s="531"/>
      <c r="D9" s="978"/>
      <c r="E9" s="198"/>
    </row>
    <row r="10" spans="1:5" s="196" customFormat="1" ht="12" customHeight="1">
      <c r="A10" s="529"/>
      <c r="B10" s="532"/>
      <c r="C10" s="531"/>
      <c r="D10" s="978"/>
      <c r="E10" s="197"/>
    </row>
    <row r="11" spans="1:5" s="199" customFormat="1" ht="14.25">
      <c r="A11" s="529" t="s">
        <v>893</v>
      </c>
      <c r="B11" s="530" t="s">
        <v>745</v>
      </c>
      <c r="C11" s="531"/>
      <c r="D11" s="978">
        <f>ELEKTRO_P_Sv!G20</f>
        <v>0</v>
      </c>
      <c r="E11" s="198"/>
    </row>
    <row r="12" spans="1:5" s="196" customFormat="1" ht="9.75" customHeight="1">
      <c r="A12" s="529"/>
      <c r="B12" s="532"/>
      <c r="C12" s="531"/>
      <c r="D12" s="978"/>
      <c r="E12" s="197"/>
    </row>
    <row r="13" spans="1:5" s="199" customFormat="1" ht="14.25">
      <c r="A13" s="529" t="s">
        <v>891</v>
      </c>
      <c r="B13" s="530" t="s">
        <v>744</v>
      </c>
      <c r="C13" s="531"/>
      <c r="D13" s="978">
        <f>ELEKTRO_P_Vod!G66</f>
        <v>0</v>
      </c>
      <c r="E13" s="198"/>
    </row>
    <row r="14" spans="1:5" s="196" customFormat="1" ht="9" customHeight="1">
      <c r="A14" s="529"/>
      <c r="B14" s="532"/>
      <c r="C14" s="531"/>
      <c r="D14" s="978"/>
      <c r="E14" s="197"/>
    </row>
    <row r="15" spans="1:5" s="199" customFormat="1" ht="14.25">
      <c r="A15" s="529" t="s">
        <v>1109</v>
      </c>
      <c r="B15" s="530" t="s">
        <v>743</v>
      </c>
      <c r="C15" s="531"/>
      <c r="D15" s="978">
        <f>ELEKTRO_P_ES!G71</f>
        <v>0</v>
      </c>
      <c r="E15" s="198"/>
    </row>
    <row r="16" spans="1:5" s="196" customFormat="1" ht="10.5" customHeight="1">
      <c r="A16" s="529"/>
      <c r="B16" s="532"/>
      <c r="C16" s="531"/>
      <c r="D16" s="978"/>
      <c r="E16" s="197"/>
    </row>
    <row r="17" spans="1:5" s="199" customFormat="1" ht="14.25">
      <c r="A17" s="529" t="s">
        <v>1111</v>
      </c>
      <c r="B17" s="530" t="s">
        <v>742</v>
      </c>
      <c r="C17" s="531"/>
      <c r="D17" s="978">
        <f>ELEKTRO_P_Video!G32</f>
        <v>0</v>
      </c>
      <c r="E17" s="198"/>
    </row>
    <row r="18" spans="1:5" s="196" customFormat="1" ht="11.25" customHeight="1">
      <c r="A18" s="529"/>
      <c r="B18" s="532"/>
      <c r="C18" s="531"/>
      <c r="D18" s="978"/>
      <c r="E18" s="197"/>
    </row>
    <row r="19" spans="1:5" s="199" customFormat="1" ht="14.25">
      <c r="A19" s="529" t="s">
        <v>1110</v>
      </c>
      <c r="B19" s="530" t="s">
        <v>741</v>
      </c>
      <c r="C19" s="531"/>
      <c r="D19" s="978">
        <f>ELEKTR_P_Stre!G46</f>
        <v>0</v>
      </c>
      <c r="E19" s="198"/>
    </row>
    <row r="20" spans="1:5" s="199" customFormat="1" ht="14.25">
      <c r="A20" s="529"/>
      <c r="B20" s="530"/>
      <c r="C20" s="531"/>
      <c r="D20" s="978"/>
      <c r="E20" s="198"/>
    </row>
    <row r="21" spans="1:5" s="199" customFormat="1" ht="14.25">
      <c r="A21" s="529" t="s">
        <v>1423</v>
      </c>
      <c r="B21" s="530" t="s">
        <v>1424</v>
      </c>
      <c r="C21" s="531"/>
      <c r="D21" s="978">
        <f>ELEKTRO_P_PPzEV!G12</f>
        <v>0</v>
      </c>
      <c r="E21" s="198"/>
    </row>
    <row r="22" spans="1:5" s="196" customFormat="1" ht="12.75" customHeight="1">
      <c r="A22" s="529"/>
      <c r="B22" s="532"/>
      <c r="C22" s="531"/>
      <c r="D22" s="978"/>
      <c r="E22" s="197"/>
    </row>
    <row r="23" spans="1:5" s="196" customFormat="1" ht="14.25">
      <c r="A23" s="529" t="s">
        <v>101</v>
      </c>
      <c r="B23" s="530" t="s">
        <v>740</v>
      </c>
      <c r="C23" s="533"/>
      <c r="D23" s="978">
        <f>ELEKTRO_Ostalo!G19</f>
        <v>0</v>
      </c>
      <c r="E23" s="193"/>
    </row>
    <row r="24" spans="1:5" s="196" customFormat="1" ht="12" customHeight="1">
      <c r="A24" s="529"/>
      <c r="B24" s="532"/>
      <c r="C24" s="531"/>
      <c r="D24" s="978"/>
      <c r="E24" s="197"/>
    </row>
    <row r="25" spans="1:5" s="196" customFormat="1" ht="13.9" customHeight="1">
      <c r="A25" s="529" t="s">
        <v>102</v>
      </c>
      <c r="B25" s="530" t="s">
        <v>1112</v>
      </c>
      <c r="C25" s="533"/>
      <c r="D25" s="978">
        <f>ZAŠČITA_elektro_vodov!F32</f>
        <v>0</v>
      </c>
      <c r="E25" s="193"/>
    </row>
    <row r="26" spans="1:5">
      <c r="A26" s="534"/>
      <c r="B26" s="534"/>
      <c r="C26" s="534"/>
      <c r="D26" s="978"/>
    </row>
    <row r="27" spans="1:5" s="195" customFormat="1" ht="15">
      <c r="A27" s="535"/>
      <c r="B27" s="535" t="s">
        <v>739</v>
      </c>
      <c r="C27" s="536"/>
      <c r="D27" s="979">
        <f>SUM(D3:D21)+D23+D25</f>
        <v>0</v>
      </c>
    </row>
    <row r="28" spans="1:5">
      <c r="A28" s="534"/>
      <c r="B28" s="534"/>
      <c r="C28" s="534"/>
      <c r="D28" s="978"/>
    </row>
    <row r="29" spans="1:5">
      <c r="A29" s="534"/>
      <c r="B29" s="534" t="s">
        <v>252</v>
      </c>
      <c r="C29" s="537"/>
      <c r="D29" s="978">
        <f>D27*0.22</f>
        <v>0</v>
      </c>
    </row>
    <row r="30" spans="1:5">
      <c r="A30" s="534"/>
      <c r="B30" s="534"/>
      <c r="C30" s="534"/>
      <c r="D30" s="978"/>
    </row>
    <row r="31" spans="1:5" s="195" customFormat="1" ht="15">
      <c r="A31" s="538"/>
      <c r="B31" s="538" t="s">
        <v>738</v>
      </c>
      <c r="C31" s="539"/>
      <c r="D31" s="980">
        <f>SUM(D27:D29)</f>
        <v>0</v>
      </c>
    </row>
    <row r="32" spans="1:5">
      <c r="A32" s="534"/>
      <c r="B32" s="540"/>
      <c r="C32" s="540"/>
      <c r="D32" s="981"/>
    </row>
    <row r="33" spans="1:4" ht="68.45" customHeight="1">
      <c r="A33" s="534"/>
      <c r="B33" s="1024" t="s">
        <v>737</v>
      </c>
      <c r="C33" s="1024"/>
      <c r="D33" s="1024"/>
    </row>
    <row r="34" spans="1:4">
      <c r="B34" s="194"/>
      <c r="C34" s="194"/>
      <c r="D34" s="982"/>
    </row>
    <row r="35" spans="1:4">
      <c r="B35" s="194"/>
      <c r="C35" s="194"/>
      <c r="D35" s="982"/>
    </row>
  </sheetData>
  <sheetProtection algorithmName="SHA-512" hashValue="9Rm/ejlfiDKRXMa0KSi52IbIKggjahbGUuvsockHiUw7zCRhkaDspysMhlTLyUKEKFjZscb/SbDAZytkv4bupA==" saltValue="QKAALm1fWZ3TJNJ+Rjwt1A==" spinCount="100000" sheet="1" formatCells="0" formatColumns="0" formatRows="0"/>
  <mergeCells count="1">
    <mergeCell ref="B33:D33"/>
  </mergeCells>
  <pageMargins left="1.1023622047244095" right="0.51181102362204722" top="0.59055118110236227" bottom="0.39370078740157483" header="0.19685039370078741" footer="0.11811023622047245"/>
  <pageSetup paperSize="9" orientation="portrait" r:id="rId1"/>
  <headerFooter>
    <oddHeader>&amp;L&amp;"-,Običajno"&amp;8TEHNIČNO POROČILO TER POPIS DEL IN MATERIALA&amp;"Arial CE,Običajno"&amp;10
______________________________________________________________________________________
&amp;R&amp;"-,Običajno"&amp;8 19/&amp;P</oddHeader>
    <oddFooter xml:space="preserve">&amp;L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view="pageBreakPreview" zoomScaleNormal="100" zoomScaleSheetLayoutView="100" workbookViewId="0">
      <selection activeCell="B7" sqref="B7"/>
    </sheetView>
  </sheetViews>
  <sheetFormatPr defaultColWidth="8" defaultRowHeight="12.75"/>
  <cols>
    <col min="1" max="1" width="3.375" style="200" customWidth="1"/>
    <col min="2" max="2" width="70" style="201" customWidth="1"/>
    <col min="3" max="16384" width="8" style="200"/>
  </cols>
  <sheetData>
    <row r="1" spans="1:9" s="208" customFormat="1" ht="15">
      <c r="A1" s="573" t="s">
        <v>1366</v>
      </c>
      <c r="B1" s="574"/>
      <c r="C1" s="212"/>
      <c r="D1" s="211"/>
      <c r="E1" s="211"/>
      <c r="F1" s="210"/>
      <c r="G1" s="211"/>
      <c r="H1" s="210"/>
      <c r="I1" s="209"/>
    </row>
    <row r="2" spans="1:9">
      <c r="A2" s="322"/>
      <c r="B2" s="575"/>
    </row>
    <row r="3" spans="1:9" s="206" customFormat="1" ht="27" customHeight="1">
      <c r="A3" s="207"/>
      <c r="B3" s="575" t="s">
        <v>804</v>
      </c>
    </row>
    <row r="4" spans="1:9" s="206" customFormat="1" ht="27.75" customHeight="1">
      <c r="A4" s="207"/>
      <c r="B4" s="575" t="s">
        <v>803</v>
      </c>
    </row>
    <row r="5" spans="1:9" s="206" customFormat="1" ht="15">
      <c r="A5" s="207"/>
      <c r="B5" s="575" t="s">
        <v>802</v>
      </c>
    </row>
    <row r="6" spans="1:9" s="206" customFormat="1" ht="27" customHeight="1">
      <c r="A6" s="207"/>
      <c r="B6" s="575" t="s">
        <v>801</v>
      </c>
    </row>
    <row r="7" spans="1:9" s="206" customFormat="1" ht="39" customHeight="1">
      <c r="A7" s="207"/>
      <c r="B7" s="575" t="s">
        <v>800</v>
      </c>
    </row>
    <row r="8" spans="1:9" s="206" customFormat="1" ht="52.5" customHeight="1">
      <c r="A8" s="207"/>
      <c r="B8" s="575" t="s">
        <v>799</v>
      </c>
    </row>
    <row r="9" spans="1:9" s="206" customFormat="1" ht="39" customHeight="1">
      <c r="A9" s="207"/>
      <c r="B9" s="575" t="s">
        <v>798</v>
      </c>
    </row>
    <row r="10" spans="1:9" s="206" customFormat="1" ht="8.25" customHeight="1">
      <c r="A10" s="207"/>
      <c r="B10" s="575"/>
    </row>
    <row r="11" spans="1:9" ht="25.5">
      <c r="A11" s="576"/>
      <c r="B11" s="575" t="s">
        <v>797</v>
      </c>
    </row>
    <row r="12" spans="1:9" s="202" customFormat="1" ht="52.5" customHeight="1">
      <c r="A12" s="577" t="s">
        <v>89</v>
      </c>
      <c r="B12" s="575" t="s">
        <v>796</v>
      </c>
    </row>
    <row r="13" spans="1:9" s="202" customFormat="1" ht="6" customHeight="1">
      <c r="A13" s="577"/>
      <c r="B13" s="575"/>
    </row>
    <row r="14" spans="1:9" s="202" customFormat="1" ht="15" customHeight="1">
      <c r="A14" s="577" t="s">
        <v>91</v>
      </c>
      <c r="B14" s="575" t="s">
        <v>795</v>
      </c>
    </row>
    <row r="15" spans="1:9" s="202" customFormat="1" ht="6" customHeight="1">
      <c r="A15" s="577"/>
      <c r="B15" s="575"/>
    </row>
    <row r="16" spans="1:9" s="205" customFormat="1" ht="27" customHeight="1">
      <c r="A16" s="577" t="s">
        <v>94</v>
      </c>
      <c r="B16" s="575" t="s">
        <v>794</v>
      </c>
    </row>
    <row r="17" spans="1:2" s="202" customFormat="1" ht="6" customHeight="1">
      <c r="A17" s="577"/>
      <c r="B17" s="575"/>
    </row>
    <row r="18" spans="1:2" s="203" customFormat="1" ht="27" customHeight="1">
      <c r="A18" s="577" t="s">
        <v>96</v>
      </c>
      <c r="B18" s="575" t="s">
        <v>793</v>
      </c>
    </row>
    <row r="19" spans="1:2" s="202" customFormat="1" ht="6" customHeight="1">
      <c r="A19" s="577"/>
      <c r="B19" s="575"/>
    </row>
    <row r="20" spans="1:2" s="205" customFormat="1" ht="27" customHeight="1">
      <c r="A20" s="577" t="s">
        <v>101</v>
      </c>
      <c r="B20" s="575" t="s">
        <v>792</v>
      </c>
    </row>
    <row r="21" spans="1:2" s="202" customFormat="1" ht="6" customHeight="1">
      <c r="A21" s="577"/>
      <c r="B21" s="575"/>
    </row>
    <row r="22" spans="1:2" s="203" customFormat="1" ht="39" customHeight="1">
      <c r="A22" s="577" t="s">
        <v>102</v>
      </c>
      <c r="B22" s="575" t="s">
        <v>791</v>
      </c>
    </row>
    <row r="23" spans="1:2" s="202" customFormat="1" ht="6" customHeight="1">
      <c r="A23" s="577"/>
      <c r="B23" s="575"/>
    </row>
    <row r="24" spans="1:2" s="205" customFormat="1" ht="15" customHeight="1">
      <c r="A24" s="577" t="s">
        <v>103</v>
      </c>
      <c r="B24" s="575" t="s">
        <v>790</v>
      </c>
    </row>
    <row r="25" spans="1:2" s="202" customFormat="1" ht="6" customHeight="1">
      <c r="A25" s="577"/>
      <c r="B25" s="575"/>
    </row>
    <row r="26" spans="1:2" s="203" customFormat="1" ht="27" customHeight="1">
      <c r="A26" s="577" t="s">
        <v>104</v>
      </c>
      <c r="B26" s="575" t="s">
        <v>789</v>
      </c>
    </row>
    <row r="27" spans="1:2" s="202" customFormat="1" ht="6" customHeight="1">
      <c r="A27" s="577"/>
      <c r="B27" s="575"/>
    </row>
    <row r="28" spans="1:2" s="203" customFormat="1" ht="15" customHeight="1">
      <c r="A28" s="577" t="s">
        <v>105</v>
      </c>
      <c r="B28" s="575" t="s">
        <v>788</v>
      </c>
    </row>
    <row r="29" spans="1:2" s="202" customFormat="1" ht="6" customHeight="1">
      <c r="A29" s="577"/>
      <c r="B29" s="575"/>
    </row>
    <row r="30" spans="1:2" s="203" customFormat="1" ht="52.5" customHeight="1">
      <c r="A30" s="577" t="s">
        <v>109</v>
      </c>
      <c r="B30" s="575" t="s">
        <v>787</v>
      </c>
    </row>
    <row r="31" spans="1:2" s="202" customFormat="1" ht="6" customHeight="1">
      <c r="A31" s="577"/>
      <c r="B31" s="575"/>
    </row>
    <row r="32" spans="1:2" s="203" customFormat="1" ht="54" customHeight="1">
      <c r="A32" s="577" t="s">
        <v>110</v>
      </c>
      <c r="B32" s="575" t="s">
        <v>786</v>
      </c>
    </row>
    <row r="33" spans="1:2" s="202" customFormat="1" ht="6" customHeight="1">
      <c r="A33" s="577"/>
      <c r="B33" s="575"/>
    </row>
    <row r="34" spans="1:2" s="203" customFormat="1" ht="52.5" customHeight="1">
      <c r="A34" s="577" t="s">
        <v>111</v>
      </c>
      <c r="B34" s="575" t="s">
        <v>785</v>
      </c>
    </row>
    <row r="35" spans="1:2" s="202" customFormat="1" ht="6" customHeight="1">
      <c r="A35" s="577"/>
      <c r="B35" s="575"/>
    </row>
    <row r="36" spans="1:2" s="203" customFormat="1" ht="27" customHeight="1">
      <c r="A36" s="577">
        <v>13</v>
      </c>
      <c r="B36" s="575" t="s">
        <v>784</v>
      </c>
    </row>
    <row r="37" spans="1:2" s="202" customFormat="1" ht="6" customHeight="1">
      <c r="A37" s="577"/>
      <c r="B37" s="575"/>
    </row>
    <row r="38" spans="1:2" s="203" customFormat="1" ht="15" customHeight="1">
      <c r="A38" s="577">
        <v>14</v>
      </c>
      <c r="B38" s="575" t="s">
        <v>783</v>
      </c>
    </row>
    <row r="39" spans="1:2" s="202" customFormat="1" ht="6" customHeight="1">
      <c r="A39" s="577"/>
      <c r="B39" s="575"/>
    </row>
    <row r="40" spans="1:2" s="203" customFormat="1" ht="27" customHeight="1">
      <c r="A40" s="577" t="s">
        <v>782</v>
      </c>
      <c r="B40" s="575" t="s">
        <v>781</v>
      </c>
    </row>
    <row r="41" spans="1:2" s="203" customFormat="1" ht="15" customHeight="1">
      <c r="A41" s="577" t="s">
        <v>780</v>
      </c>
      <c r="B41" s="575" t="s">
        <v>779</v>
      </c>
    </row>
    <row r="42" spans="1:2" s="203" customFormat="1" ht="15" customHeight="1">
      <c r="A42" s="577" t="s">
        <v>778</v>
      </c>
      <c r="B42" s="575" t="s">
        <v>777</v>
      </c>
    </row>
    <row r="43" spans="1:2" s="203" customFormat="1" ht="15" customHeight="1">
      <c r="A43" s="577" t="s">
        <v>776</v>
      </c>
      <c r="B43" s="575" t="s">
        <v>775</v>
      </c>
    </row>
    <row r="44" spans="1:2" s="203" customFormat="1" ht="15" customHeight="1">
      <c r="A44" s="577" t="s">
        <v>774</v>
      </c>
      <c r="B44" s="575" t="s">
        <v>773</v>
      </c>
    </row>
    <row r="45" spans="1:2" s="203" customFormat="1" ht="15" customHeight="1">
      <c r="A45" s="577" t="s">
        <v>772</v>
      </c>
      <c r="B45" s="575" t="s">
        <v>771</v>
      </c>
    </row>
    <row r="46" spans="1:2" s="203" customFormat="1" ht="15" customHeight="1">
      <c r="A46" s="577" t="s">
        <v>770</v>
      </c>
      <c r="B46" s="575" t="s">
        <v>769</v>
      </c>
    </row>
    <row r="47" spans="1:2" ht="27" customHeight="1">
      <c r="A47" s="577"/>
      <c r="B47" s="575" t="s">
        <v>768</v>
      </c>
    </row>
    <row r="48" spans="1:2" s="202" customFormat="1" ht="6" customHeight="1">
      <c r="A48" s="577"/>
      <c r="B48" s="575"/>
    </row>
    <row r="49" spans="1:2" ht="52.5" customHeight="1">
      <c r="A49" s="577" t="s">
        <v>767</v>
      </c>
      <c r="B49" s="575" t="s">
        <v>766</v>
      </c>
    </row>
    <row r="50" spans="1:2" s="202" customFormat="1" ht="6" customHeight="1">
      <c r="A50" s="577"/>
      <c r="B50" s="575"/>
    </row>
    <row r="51" spans="1:2" s="204" customFormat="1" ht="15" customHeight="1">
      <c r="A51" s="577" t="s">
        <v>765</v>
      </c>
      <c r="B51" s="575" t="s">
        <v>764</v>
      </c>
    </row>
    <row r="52" spans="1:2" s="202" customFormat="1" ht="6" customHeight="1">
      <c r="A52" s="577"/>
      <c r="B52" s="575"/>
    </row>
    <row r="53" spans="1:2" ht="27" customHeight="1">
      <c r="A53" s="577" t="s">
        <v>763</v>
      </c>
      <c r="B53" s="575" t="s">
        <v>762</v>
      </c>
    </row>
    <row r="54" spans="1:2" s="202" customFormat="1" ht="6" customHeight="1">
      <c r="A54" s="577"/>
      <c r="B54" s="575"/>
    </row>
    <row r="55" spans="1:2" ht="15" customHeight="1">
      <c r="A55" s="577" t="s">
        <v>761</v>
      </c>
      <c r="B55" s="575" t="s">
        <v>760</v>
      </c>
    </row>
    <row r="56" spans="1:2" s="202" customFormat="1" ht="6" customHeight="1">
      <c r="A56" s="577"/>
      <c r="B56" s="575"/>
    </row>
    <row r="57" spans="1:2" s="203" customFormat="1" ht="27" customHeight="1">
      <c r="A57" s="577" t="s">
        <v>759</v>
      </c>
      <c r="B57" s="575" t="s">
        <v>758</v>
      </c>
    </row>
    <row r="58" spans="1:2" s="202" customFormat="1" ht="6" customHeight="1">
      <c r="A58" s="577"/>
      <c r="B58" s="575"/>
    </row>
    <row r="59" spans="1:2" s="203" customFormat="1" ht="78.75" customHeight="1">
      <c r="A59" s="577" t="s">
        <v>757</v>
      </c>
      <c r="B59" s="575" t="s">
        <v>756</v>
      </c>
    </row>
    <row r="60" spans="1:2" s="202" customFormat="1" ht="6" customHeight="1">
      <c r="A60" s="577"/>
      <c r="B60" s="575"/>
    </row>
    <row r="61" spans="1:2" s="203" customFormat="1" ht="52.5" customHeight="1">
      <c r="A61" s="577" t="s">
        <v>755</v>
      </c>
      <c r="B61" s="575" t="s">
        <v>754</v>
      </c>
    </row>
    <row r="62" spans="1:2" s="202" customFormat="1" ht="6" customHeight="1">
      <c r="A62" s="577"/>
      <c r="B62" s="575"/>
    </row>
    <row r="63" spans="1:2" ht="41.25" customHeight="1">
      <c r="A63" s="577" t="s">
        <v>753</v>
      </c>
      <c r="B63" s="575" t="s">
        <v>752</v>
      </c>
    </row>
  </sheetData>
  <sheetProtection formatCells="0" formatColumns="0" formatRows="0"/>
  <pageMargins left="1.1023622047244095" right="0.51181102362204722" top="0.59055118110236227" bottom="0.39370078740157483" header="0.19685039370078741" footer="0.11811023622047245"/>
  <pageSetup paperSize="9" orientation="portrait" r:id="rId1"/>
  <headerFooter>
    <oddHeader>&amp;L&amp;"-,Običajno"&amp;8TEHNIČNO POROČILO TER POPIS DEL IN MATERIALA&amp;"Arial CE,Običajno"&amp;10
______________________________________________________________________________________
&amp;R&amp;"-,Običajno"&amp;8 19/&amp;P</oddHeader>
    <oddFooter xml:space="preserve">&amp;L
</oddFooter>
  </headerFooter>
  <colBreaks count="1" manualBreakCount="1">
    <brk id="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4"/>
  <sheetViews>
    <sheetView view="pageBreakPreview" zoomScale="125" zoomScaleNormal="100" zoomScaleSheetLayoutView="125" workbookViewId="0">
      <selection activeCell="G1" sqref="G1:G1048576"/>
    </sheetView>
  </sheetViews>
  <sheetFormatPr defaultColWidth="8.125" defaultRowHeight="14.25"/>
  <cols>
    <col min="1" max="1" width="3.5" style="213" customWidth="1"/>
    <col min="2" max="2" width="39" style="215" customWidth="1"/>
    <col min="3" max="3" width="0.625" style="214" customWidth="1"/>
    <col min="4" max="4" width="4.75" style="213" customWidth="1"/>
    <col min="5" max="5" width="7.5" style="213" customWidth="1"/>
    <col min="6" max="6" width="9.25" style="859" customWidth="1"/>
    <col min="7" max="7" width="10.875" style="991" customWidth="1"/>
    <col min="8" max="8" width="11.125" style="213" hidden="1" customWidth="1"/>
    <col min="9" max="9" width="12.875" style="213" hidden="1" customWidth="1"/>
    <col min="10" max="16384" width="8.125" style="213"/>
  </cols>
  <sheetData>
    <row r="1" spans="1:9">
      <c r="A1" s="629" t="s">
        <v>851</v>
      </c>
      <c r="B1" s="574"/>
      <c r="C1" s="630"/>
      <c r="D1" s="631"/>
      <c r="E1" s="632"/>
      <c r="F1" s="852"/>
      <c r="G1" s="984"/>
      <c r="H1" s="235"/>
      <c r="I1" s="234"/>
    </row>
    <row r="2" spans="1:9" ht="9" customHeight="1" thickBot="1">
      <c r="A2" s="578"/>
      <c r="B2" s="579"/>
      <c r="C2" s="579"/>
      <c r="D2" s="580"/>
      <c r="E2" s="581"/>
      <c r="F2" s="853"/>
      <c r="G2" s="985"/>
      <c r="H2" s="193"/>
      <c r="I2" s="230"/>
    </row>
    <row r="3" spans="1:9" s="216" customFormat="1" ht="12.75">
      <c r="A3" s="583" t="s">
        <v>850</v>
      </c>
      <c r="B3" s="584" t="s">
        <v>849</v>
      </c>
      <c r="C3" s="585"/>
      <c r="D3" s="586" t="s">
        <v>254</v>
      </c>
      <c r="E3" s="587" t="s">
        <v>848</v>
      </c>
      <c r="F3" s="854" t="s">
        <v>847</v>
      </c>
      <c r="G3" s="986" t="s">
        <v>846</v>
      </c>
      <c r="H3" s="193"/>
      <c r="I3" s="230"/>
    </row>
    <row r="4" spans="1:9" ht="6.75" customHeight="1">
      <c r="A4" s="588"/>
      <c r="B4" s="589"/>
      <c r="C4" s="590"/>
      <c r="D4" s="588"/>
      <c r="E4" s="588"/>
      <c r="F4" s="853"/>
      <c r="G4" s="985"/>
      <c r="H4" s="193"/>
      <c r="I4" s="230"/>
    </row>
    <row r="5" spans="1:9" s="193" customFormat="1" ht="15" customHeight="1">
      <c r="A5" s="578">
        <v>1</v>
      </c>
      <c r="B5" s="579" t="s">
        <v>845</v>
      </c>
      <c r="C5" s="580"/>
      <c r="D5" s="588" t="s">
        <v>824</v>
      </c>
      <c r="E5" s="588">
        <v>156</v>
      </c>
      <c r="F5" s="853"/>
      <c r="G5" s="985">
        <f>ROUND(ROUND(E5,2)*ROUND(F5,2),2)</f>
        <v>0</v>
      </c>
      <c r="I5" s="230"/>
    </row>
    <row r="6" spans="1:9" ht="9" customHeight="1">
      <c r="A6" s="578"/>
      <c r="B6" s="579"/>
      <c r="C6" s="579"/>
      <c r="D6" s="580"/>
      <c r="E6" s="581"/>
      <c r="F6" s="853"/>
      <c r="G6" s="985"/>
      <c r="H6" s="223"/>
    </row>
    <row r="7" spans="1:9" s="193" customFormat="1" ht="42" customHeight="1">
      <c r="A7" s="578">
        <f>A5+1</f>
        <v>2</v>
      </c>
      <c r="B7" s="579" t="s">
        <v>844</v>
      </c>
      <c r="C7" s="580"/>
      <c r="D7" s="588" t="s">
        <v>824</v>
      </c>
      <c r="E7" s="588">
        <v>75</v>
      </c>
      <c r="F7" s="853"/>
      <c r="G7" s="985">
        <f t="shared" ref="G7:G53" si="0">ROUND(ROUND(E7,2)*ROUND(F7,2),2)</f>
        <v>0</v>
      </c>
      <c r="I7" s="230" t="str">
        <f>IF(F7="","VNESI CENO NA ENOTO!","")</f>
        <v>VNESI CENO NA ENOTO!</v>
      </c>
    </row>
    <row r="8" spans="1:9" ht="11.25" customHeight="1">
      <c r="A8" s="578"/>
      <c r="B8" s="579"/>
      <c r="C8" s="579"/>
      <c r="D8" s="580"/>
      <c r="E8" s="582"/>
      <c r="F8" s="853"/>
      <c r="G8" s="985"/>
      <c r="H8" s="223"/>
    </row>
    <row r="9" spans="1:9" s="200" customFormat="1" ht="81" customHeight="1">
      <c r="A9" s="578">
        <f>A7+1</f>
        <v>3</v>
      </c>
      <c r="B9" s="579" t="s">
        <v>843</v>
      </c>
      <c r="C9" s="580"/>
      <c r="D9" s="588" t="s">
        <v>93</v>
      </c>
      <c r="E9" s="588">
        <v>1</v>
      </c>
      <c r="F9" s="853"/>
      <c r="G9" s="985">
        <f t="shared" si="0"/>
        <v>0</v>
      </c>
      <c r="I9" s="231" t="str">
        <f>IF(F9="","VNESI CENO NA ENOTO!","")</f>
        <v>VNESI CENO NA ENOTO!</v>
      </c>
    </row>
    <row r="10" spans="1:9" ht="9" customHeight="1">
      <c r="A10" s="578"/>
      <c r="B10" s="579"/>
      <c r="C10" s="579"/>
      <c r="D10" s="580"/>
      <c r="E10" s="582"/>
      <c r="F10" s="853"/>
      <c r="G10" s="985"/>
      <c r="H10" s="223"/>
    </row>
    <row r="11" spans="1:9" s="193" customFormat="1" ht="13.9" customHeight="1">
      <c r="A11" s="578">
        <f>A9+1</f>
        <v>4</v>
      </c>
      <c r="B11" s="579" t="s">
        <v>842</v>
      </c>
      <c r="C11" s="580"/>
      <c r="D11" s="588" t="s">
        <v>824</v>
      </c>
      <c r="E11" s="581">
        <v>170.2</v>
      </c>
      <c r="F11" s="853"/>
      <c r="G11" s="985">
        <f t="shared" si="0"/>
        <v>0</v>
      </c>
      <c r="I11" s="230"/>
    </row>
    <row r="12" spans="1:9" ht="9" customHeight="1">
      <c r="A12" s="578"/>
      <c r="B12" s="579"/>
      <c r="C12" s="579"/>
      <c r="D12" s="580"/>
      <c r="E12" s="582"/>
      <c r="F12" s="853"/>
      <c r="G12" s="985"/>
      <c r="H12" s="223"/>
    </row>
    <row r="13" spans="1:9" s="216" customFormat="1" ht="69" customHeight="1">
      <c r="A13" s="578">
        <f>A11+1</f>
        <v>5</v>
      </c>
      <c r="B13" s="579" t="s">
        <v>841</v>
      </c>
      <c r="C13" s="580"/>
      <c r="D13" s="588" t="s">
        <v>1304</v>
      </c>
      <c r="E13" s="581">
        <v>80.400000000000006</v>
      </c>
      <c r="F13" s="853"/>
      <c r="G13" s="985">
        <f t="shared" si="0"/>
        <v>0</v>
      </c>
      <c r="H13" s="223"/>
      <c r="I13" s="223"/>
    </row>
    <row r="14" spans="1:9" ht="9" customHeight="1">
      <c r="A14" s="578"/>
      <c r="B14" s="579"/>
      <c r="C14" s="579"/>
      <c r="D14" s="580"/>
      <c r="E14" s="582"/>
      <c r="F14" s="853"/>
      <c r="G14" s="985"/>
      <c r="H14" s="223"/>
    </row>
    <row r="15" spans="1:9" s="216" customFormat="1" ht="103.5" customHeight="1">
      <c r="A15" s="578">
        <f>A13+1</f>
        <v>6</v>
      </c>
      <c r="B15" s="579" t="s">
        <v>840</v>
      </c>
      <c r="C15" s="580"/>
      <c r="D15" s="588" t="s">
        <v>1304</v>
      </c>
      <c r="E15" s="581">
        <v>12.5</v>
      </c>
      <c r="F15" s="853"/>
      <c r="G15" s="985">
        <f t="shared" si="0"/>
        <v>0</v>
      </c>
      <c r="H15" s="223"/>
      <c r="I15" s="223"/>
    </row>
    <row r="16" spans="1:9" ht="9" customHeight="1">
      <c r="A16" s="578"/>
      <c r="B16" s="579"/>
      <c r="C16" s="579"/>
      <c r="D16" s="580"/>
      <c r="E16" s="582"/>
      <c r="F16" s="853"/>
      <c r="G16" s="985"/>
      <c r="H16" s="223"/>
    </row>
    <row r="17" spans="1:9" s="193" customFormat="1" ht="15" customHeight="1">
      <c r="A17" s="578"/>
      <c r="B17" s="591" t="s">
        <v>12</v>
      </c>
      <c r="C17" s="580"/>
      <c r="D17" s="588"/>
      <c r="E17" s="582"/>
      <c r="F17" s="853"/>
      <c r="G17" s="985">
        <f t="shared" si="0"/>
        <v>0</v>
      </c>
      <c r="I17" s="230"/>
    </row>
    <row r="18" spans="1:9" s="193" customFormat="1" ht="64.5" customHeight="1">
      <c r="A18" s="578">
        <f>A15+1</f>
        <v>7</v>
      </c>
      <c r="B18" s="579" t="s">
        <v>839</v>
      </c>
      <c r="C18" s="580"/>
      <c r="D18" s="588" t="s">
        <v>1305</v>
      </c>
      <c r="E18" s="581">
        <v>13.8</v>
      </c>
      <c r="F18" s="853"/>
      <c r="G18" s="985">
        <f t="shared" si="0"/>
        <v>0</v>
      </c>
      <c r="I18" s="230" t="str">
        <f>IF(F18="","VNESI CENO NA ENOTO!","")</f>
        <v>VNESI CENO NA ENOTO!</v>
      </c>
    </row>
    <row r="19" spans="1:9" ht="9" customHeight="1">
      <c r="A19" s="578"/>
      <c r="B19" s="579"/>
      <c r="C19" s="579"/>
      <c r="D19" s="580"/>
      <c r="E19" s="581"/>
      <c r="F19" s="853"/>
      <c r="G19" s="985"/>
      <c r="H19" s="223"/>
    </row>
    <row r="20" spans="1:9" s="193" customFormat="1" ht="65.25" customHeight="1">
      <c r="A20" s="578">
        <f>A18+1</f>
        <v>8</v>
      </c>
      <c r="B20" s="579" t="s">
        <v>838</v>
      </c>
      <c r="C20" s="580"/>
      <c r="D20" s="588" t="s">
        <v>1305</v>
      </c>
      <c r="E20" s="581">
        <v>3.5</v>
      </c>
      <c r="F20" s="853"/>
      <c r="G20" s="985">
        <f t="shared" si="0"/>
        <v>0</v>
      </c>
      <c r="I20" s="230" t="str">
        <f>IF(F20="","VNESI CENO NA ENOTO!","")</f>
        <v>VNESI CENO NA ENOTO!</v>
      </c>
    </row>
    <row r="21" spans="1:9" ht="9" customHeight="1">
      <c r="A21" s="578"/>
      <c r="B21" s="579"/>
      <c r="C21" s="579"/>
      <c r="D21" s="580"/>
      <c r="E21" s="581"/>
      <c r="F21" s="853"/>
      <c r="G21" s="985"/>
      <c r="H21" s="223"/>
    </row>
    <row r="22" spans="1:9" s="193" customFormat="1" ht="57" customHeight="1">
      <c r="A22" s="578">
        <f>A20+1</f>
        <v>9</v>
      </c>
      <c r="B22" s="579" t="s">
        <v>837</v>
      </c>
      <c r="C22" s="580"/>
      <c r="D22" s="588" t="s">
        <v>1305</v>
      </c>
      <c r="E22" s="581">
        <v>76</v>
      </c>
      <c r="F22" s="853"/>
      <c r="G22" s="985">
        <f t="shared" si="0"/>
        <v>0</v>
      </c>
      <c r="I22" s="230" t="str">
        <f>IF(F22="","VNESI CENO NA ENOTO!","")</f>
        <v>VNESI CENO NA ENOTO!</v>
      </c>
    </row>
    <row r="23" spans="1:9" ht="9" customHeight="1">
      <c r="A23" s="578"/>
      <c r="B23" s="579"/>
      <c r="C23" s="579"/>
      <c r="D23" s="580"/>
      <c r="E23" s="581"/>
      <c r="F23" s="853"/>
      <c r="G23" s="985"/>
      <c r="H23" s="223"/>
    </row>
    <row r="24" spans="1:9" s="193" customFormat="1" ht="51" customHeight="1">
      <c r="A24" s="578">
        <f>A22+1</f>
        <v>10</v>
      </c>
      <c r="B24" s="579" t="s">
        <v>836</v>
      </c>
      <c r="C24" s="580"/>
      <c r="D24" s="588" t="s">
        <v>1305</v>
      </c>
      <c r="E24" s="581">
        <v>19</v>
      </c>
      <c r="F24" s="853"/>
      <c r="G24" s="985">
        <f t="shared" si="0"/>
        <v>0</v>
      </c>
      <c r="I24" s="230" t="str">
        <f>IF(F24="","VNESI CENO NA ENOTO!","")</f>
        <v>VNESI CENO NA ENOTO!</v>
      </c>
    </row>
    <row r="25" spans="1:9" ht="9" customHeight="1">
      <c r="A25" s="578"/>
      <c r="B25" s="579"/>
      <c r="C25" s="579"/>
      <c r="D25" s="580"/>
      <c r="E25" s="581"/>
      <c r="F25" s="853"/>
      <c r="G25" s="985"/>
      <c r="H25" s="223"/>
    </row>
    <row r="26" spans="1:9" s="193" customFormat="1" ht="28.15" customHeight="1">
      <c r="A26" s="578">
        <f>A24+1</f>
        <v>11</v>
      </c>
      <c r="B26" s="579" t="s">
        <v>835</v>
      </c>
      <c r="C26" s="580"/>
      <c r="D26" s="588" t="s">
        <v>1304</v>
      </c>
      <c r="E26" s="581">
        <v>84.6</v>
      </c>
      <c r="F26" s="853"/>
      <c r="G26" s="985">
        <f t="shared" si="0"/>
        <v>0</v>
      </c>
      <c r="I26" s="230" t="str">
        <f>IF(F26="","VNESI CENO NA ENOTO!","")</f>
        <v>VNESI CENO NA ENOTO!</v>
      </c>
    </row>
    <row r="27" spans="1:9" ht="9" customHeight="1">
      <c r="A27" s="578"/>
      <c r="B27" s="579"/>
      <c r="C27" s="579"/>
      <c r="D27" s="580"/>
      <c r="E27" s="581"/>
      <c r="F27" s="853"/>
      <c r="G27" s="985"/>
      <c r="H27" s="223"/>
    </row>
    <row r="28" spans="1:9" s="193" customFormat="1" ht="55.9" customHeight="1">
      <c r="A28" s="578">
        <f>A26+1</f>
        <v>12</v>
      </c>
      <c r="B28" s="579" t="s">
        <v>834</v>
      </c>
      <c r="C28" s="580"/>
      <c r="D28" s="588" t="s">
        <v>1305</v>
      </c>
      <c r="E28" s="581">
        <v>14.3</v>
      </c>
      <c r="F28" s="853"/>
      <c r="G28" s="985">
        <f t="shared" si="0"/>
        <v>0</v>
      </c>
      <c r="I28" s="230" t="str">
        <f>IF(F28="","VNESI CENO NA ENOTO!","")</f>
        <v>VNESI CENO NA ENOTO!</v>
      </c>
    </row>
    <row r="29" spans="1:9" ht="9" customHeight="1">
      <c r="A29" s="578"/>
      <c r="B29" s="579"/>
      <c r="C29" s="579"/>
      <c r="D29" s="580"/>
      <c r="E29" s="581"/>
      <c r="F29" s="853"/>
      <c r="G29" s="985"/>
      <c r="H29" s="223"/>
    </row>
    <row r="30" spans="1:9" s="193" customFormat="1" ht="52.5" customHeight="1">
      <c r="A30" s="578">
        <f>A28+1</f>
        <v>13</v>
      </c>
      <c r="B30" s="579" t="s">
        <v>833</v>
      </c>
      <c r="C30" s="580"/>
      <c r="D30" s="588" t="s">
        <v>1305</v>
      </c>
      <c r="E30" s="581">
        <v>13.8</v>
      </c>
      <c r="F30" s="853"/>
      <c r="G30" s="985">
        <f t="shared" si="0"/>
        <v>0</v>
      </c>
      <c r="I30" s="230" t="str">
        <f>IF(F30="","VNESI CENO NA ENOTO!","")</f>
        <v>VNESI CENO NA ENOTO!</v>
      </c>
    </row>
    <row r="31" spans="1:9" ht="9" customHeight="1">
      <c r="A31" s="578"/>
      <c r="B31" s="579"/>
      <c r="C31" s="580"/>
      <c r="D31" s="580"/>
      <c r="E31" s="581"/>
      <c r="F31" s="853"/>
      <c r="G31" s="985"/>
      <c r="H31" s="223"/>
    </row>
    <row r="32" spans="1:9" s="193" customFormat="1" ht="41.45" customHeight="1">
      <c r="A32" s="578">
        <f>A30+1</f>
        <v>14</v>
      </c>
      <c r="B32" s="579" t="s">
        <v>832</v>
      </c>
      <c r="C32" s="580"/>
      <c r="D32" s="588" t="s">
        <v>1305</v>
      </c>
      <c r="E32" s="581">
        <v>32.5</v>
      </c>
      <c r="F32" s="853"/>
      <c r="G32" s="985">
        <f t="shared" si="0"/>
        <v>0</v>
      </c>
      <c r="I32" s="230" t="str">
        <f>IF(F32="","VNESI CENO NA ENOTO!","")</f>
        <v>VNESI CENO NA ENOTO!</v>
      </c>
    </row>
    <row r="33" spans="1:9" ht="9" customHeight="1">
      <c r="A33" s="578"/>
      <c r="B33" s="579"/>
      <c r="C33" s="580"/>
      <c r="D33" s="580"/>
      <c r="E33" s="581"/>
      <c r="F33" s="853"/>
      <c r="G33" s="985"/>
      <c r="H33" s="223"/>
    </row>
    <row r="34" spans="1:9" s="193" customFormat="1" ht="40.9" customHeight="1">
      <c r="A34" s="578">
        <f>A32+1</f>
        <v>15</v>
      </c>
      <c r="B34" s="579" t="s">
        <v>831</v>
      </c>
      <c r="C34" s="580"/>
      <c r="D34" s="588" t="s">
        <v>1305</v>
      </c>
      <c r="E34" s="581">
        <v>36.6</v>
      </c>
      <c r="F34" s="853"/>
      <c r="G34" s="985">
        <f t="shared" si="0"/>
        <v>0</v>
      </c>
      <c r="I34" s="230" t="str">
        <f>IF(F34="","VNESI CENO NA ENOTO!","")</f>
        <v>VNESI CENO NA ENOTO!</v>
      </c>
    </row>
    <row r="35" spans="1:9" ht="9" customHeight="1">
      <c r="A35" s="578"/>
      <c r="B35" s="579"/>
      <c r="C35" s="580"/>
      <c r="D35" s="580"/>
      <c r="E35" s="581"/>
      <c r="F35" s="853"/>
      <c r="G35" s="985"/>
      <c r="H35" s="223"/>
    </row>
    <row r="36" spans="1:9" s="193" customFormat="1" ht="67.5" customHeight="1">
      <c r="A36" s="578">
        <f>A34+1</f>
        <v>16</v>
      </c>
      <c r="B36" s="579" t="s">
        <v>1306</v>
      </c>
      <c r="C36" s="589"/>
      <c r="D36" s="588" t="s">
        <v>1304</v>
      </c>
      <c r="E36" s="592">
        <v>80.400000000000006</v>
      </c>
      <c r="F36" s="853"/>
      <c r="G36" s="985">
        <f t="shared" si="0"/>
        <v>0</v>
      </c>
      <c r="I36" s="230" t="str">
        <f>IF(F36="","VNESI CENO NA ENOTO!","")</f>
        <v>VNESI CENO NA ENOTO!</v>
      </c>
    </row>
    <row r="37" spans="1:9" ht="9" customHeight="1">
      <c r="A37" s="578"/>
      <c r="B37" s="579"/>
      <c r="C37" s="580"/>
      <c r="D37" s="580"/>
      <c r="E37" s="581"/>
      <c r="F37" s="853"/>
      <c r="G37" s="985"/>
      <c r="H37" s="223"/>
    </row>
    <row r="38" spans="1:9" s="193" customFormat="1" ht="28.9" customHeight="1">
      <c r="A38" s="578">
        <f>A36+1</f>
        <v>17</v>
      </c>
      <c r="B38" s="579" t="s">
        <v>830</v>
      </c>
      <c r="C38" s="593"/>
      <c r="D38" s="588" t="s">
        <v>1304</v>
      </c>
      <c r="E38" s="581">
        <v>21.8</v>
      </c>
      <c r="F38" s="853"/>
      <c r="G38" s="985">
        <f t="shared" si="0"/>
        <v>0</v>
      </c>
      <c r="I38" s="230" t="str">
        <f>IF(F38="","VNESI CENO NA ENOTO!","")</f>
        <v>VNESI CENO NA ENOTO!</v>
      </c>
    </row>
    <row r="39" spans="1:9" ht="9" customHeight="1">
      <c r="A39" s="578"/>
      <c r="B39" s="579"/>
      <c r="C39" s="589"/>
      <c r="D39" s="580"/>
      <c r="E39" s="581"/>
      <c r="F39" s="853"/>
      <c r="G39" s="985"/>
      <c r="H39" s="223"/>
    </row>
    <row r="40" spans="1:9" s="193" customFormat="1" ht="40.9" customHeight="1">
      <c r="A40" s="578">
        <f>A38+1</f>
        <v>18</v>
      </c>
      <c r="B40" s="579" t="s">
        <v>829</v>
      </c>
      <c r="C40" s="580"/>
      <c r="D40" s="588" t="s">
        <v>1305</v>
      </c>
      <c r="E40" s="581">
        <v>79.8</v>
      </c>
      <c r="F40" s="853"/>
      <c r="G40" s="985">
        <f t="shared" si="0"/>
        <v>0</v>
      </c>
      <c r="I40" s="230" t="str">
        <f>IF(F40="","VNESI CENO NA ENOTO!","")</f>
        <v>VNESI CENO NA ENOTO!</v>
      </c>
    </row>
    <row r="41" spans="1:9" ht="9" customHeight="1">
      <c r="A41" s="578"/>
      <c r="B41" s="579"/>
      <c r="C41" s="589"/>
      <c r="D41" s="580"/>
      <c r="E41" s="581"/>
      <c r="F41" s="853"/>
      <c r="G41" s="985"/>
      <c r="H41" s="223"/>
    </row>
    <row r="42" spans="1:9" s="193" customFormat="1" ht="15" customHeight="1">
      <c r="A42" s="578"/>
      <c r="B42" s="591" t="s">
        <v>8</v>
      </c>
      <c r="C42" s="580"/>
      <c r="D42" s="588"/>
      <c r="E42" s="582"/>
      <c r="F42" s="853"/>
      <c r="G42" s="985"/>
      <c r="I42" s="230"/>
    </row>
    <row r="43" spans="1:9" s="216" customFormat="1" ht="41.45" customHeight="1">
      <c r="A43" s="578">
        <f>A40+1</f>
        <v>19</v>
      </c>
      <c r="B43" s="579" t="s">
        <v>1302</v>
      </c>
      <c r="C43" s="580"/>
      <c r="D43" s="588" t="s">
        <v>824</v>
      </c>
      <c r="E43" s="588">
        <v>325</v>
      </c>
      <c r="F43" s="853"/>
      <c r="G43" s="985">
        <f t="shared" si="0"/>
        <v>0</v>
      </c>
      <c r="H43" s="223"/>
      <c r="I43" s="223"/>
    </row>
    <row r="44" spans="1:9" ht="9" customHeight="1">
      <c r="A44" s="578"/>
      <c r="B44" s="579"/>
      <c r="C44" s="580"/>
      <c r="D44" s="588"/>
      <c r="E44" s="581"/>
      <c r="F44" s="853"/>
      <c r="G44" s="985"/>
      <c r="H44" s="223"/>
      <c r="I44" s="223"/>
    </row>
    <row r="45" spans="1:9" s="193" customFormat="1" ht="15" customHeight="1">
      <c r="A45" s="578">
        <f>A43+1</f>
        <v>20</v>
      </c>
      <c r="B45" s="579" t="s">
        <v>828</v>
      </c>
      <c r="C45" s="580"/>
      <c r="D45" s="588" t="s">
        <v>824</v>
      </c>
      <c r="E45" s="588">
        <v>170</v>
      </c>
      <c r="F45" s="853"/>
      <c r="G45" s="985">
        <f t="shared" si="0"/>
        <v>0</v>
      </c>
      <c r="I45" s="230" t="str">
        <f>IF(F45="","VNESI CENO NA ENOTO!","")</f>
        <v>VNESI CENO NA ENOTO!</v>
      </c>
    </row>
    <row r="46" spans="1:9" ht="9" customHeight="1">
      <c r="A46" s="578"/>
      <c r="B46" s="579"/>
      <c r="C46" s="579"/>
      <c r="D46" s="588"/>
      <c r="E46" s="588"/>
      <c r="F46" s="855"/>
      <c r="G46" s="985"/>
    </row>
    <row r="47" spans="1:9" s="193" customFormat="1" ht="28.15" customHeight="1">
      <c r="A47" s="578">
        <f>A45+1</f>
        <v>21</v>
      </c>
      <c r="B47" s="579" t="s">
        <v>827</v>
      </c>
      <c r="C47" s="580"/>
      <c r="D47" s="588" t="s">
        <v>113</v>
      </c>
      <c r="E47" s="588">
        <v>6</v>
      </c>
      <c r="F47" s="853"/>
      <c r="G47" s="985">
        <f t="shared" si="0"/>
        <v>0</v>
      </c>
      <c r="I47" s="230" t="str">
        <f>IF(F47="","VNESI CENO NA ENOTO!","")</f>
        <v>VNESI CENO NA ENOTO!</v>
      </c>
    </row>
    <row r="48" spans="1:9" ht="9" customHeight="1">
      <c r="A48" s="578"/>
      <c r="B48" s="579"/>
      <c r="C48" s="579"/>
      <c r="D48" s="588"/>
      <c r="E48" s="588"/>
      <c r="F48" s="855"/>
      <c r="G48" s="985"/>
    </row>
    <row r="49" spans="1:10" s="193" customFormat="1" ht="28.15" customHeight="1">
      <c r="A49" s="578">
        <f>A47+1</f>
        <v>22</v>
      </c>
      <c r="B49" s="579" t="s">
        <v>826</v>
      </c>
      <c r="C49" s="580"/>
      <c r="D49" s="588" t="s">
        <v>113</v>
      </c>
      <c r="E49" s="588">
        <v>2</v>
      </c>
      <c r="F49" s="853"/>
      <c r="G49" s="985">
        <f t="shared" si="0"/>
        <v>0</v>
      </c>
      <c r="I49" s="230" t="str">
        <f>IF(F49="","VNESI CENO NA ENOTO!","")</f>
        <v>VNESI CENO NA ENOTO!</v>
      </c>
    </row>
    <row r="50" spans="1:10" ht="9" customHeight="1">
      <c r="A50" s="578"/>
      <c r="B50" s="579"/>
      <c r="C50" s="579"/>
      <c r="D50" s="588"/>
      <c r="E50" s="588"/>
      <c r="F50" s="855"/>
      <c r="G50" s="985"/>
    </row>
    <row r="51" spans="1:10" s="193" customFormat="1" ht="28.15" customHeight="1">
      <c r="A51" s="578">
        <f>A49+1</f>
        <v>23</v>
      </c>
      <c r="B51" s="579" t="s">
        <v>825</v>
      </c>
      <c r="C51" s="580"/>
      <c r="D51" s="588" t="s">
        <v>824</v>
      </c>
      <c r="E51" s="588">
        <v>156</v>
      </c>
      <c r="F51" s="853"/>
      <c r="G51" s="985">
        <f t="shared" si="0"/>
        <v>0</v>
      </c>
      <c r="I51" s="230" t="str">
        <f>IF(F51="","VNESI CENO NA ENOTO!","")</f>
        <v>VNESI CENO NA ENOTO!</v>
      </c>
    </row>
    <row r="52" spans="1:10" ht="9" customHeight="1">
      <c r="A52" s="578"/>
      <c r="B52" s="579"/>
      <c r="C52" s="579"/>
      <c r="D52" s="580"/>
      <c r="E52" s="581"/>
      <c r="F52" s="853"/>
      <c r="G52" s="985"/>
      <c r="H52" s="223"/>
    </row>
    <row r="53" spans="1:10" s="216" customFormat="1" ht="54.6" customHeight="1">
      <c r="A53" s="578">
        <f>A51+1</f>
        <v>24</v>
      </c>
      <c r="B53" s="575" t="s">
        <v>823</v>
      </c>
      <c r="C53" s="580"/>
      <c r="D53" s="588" t="s">
        <v>93</v>
      </c>
      <c r="E53" s="588">
        <v>4</v>
      </c>
      <c r="F53" s="853"/>
      <c r="G53" s="985">
        <f t="shared" si="0"/>
        <v>0</v>
      </c>
    </row>
    <row r="54" spans="1:10" s="228" customFormat="1" ht="9" customHeight="1">
      <c r="A54" s="578"/>
      <c r="B54" s="593"/>
      <c r="C54" s="580"/>
      <c r="D54" s="588"/>
      <c r="E54" s="581"/>
      <c r="F54" s="853"/>
      <c r="G54" s="985"/>
      <c r="H54" s="229"/>
      <c r="I54" s="229"/>
    </row>
    <row r="55" spans="1:10" s="216" customFormat="1" ht="53.25" customHeight="1">
      <c r="A55" s="578">
        <f>A53+1</f>
        <v>25</v>
      </c>
      <c r="B55" s="579" t="s">
        <v>822</v>
      </c>
      <c r="C55" s="589"/>
      <c r="D55" s="580"/>
      <c r="E55" s="588"/>
      <c r="F55" s="853"/>
      <c r="G55" s="985"/>
      <c r="H55" s="223"/>
      <c r="I55" s="223"/>
      <c r="J55" s="223"/>
    </row>
    <row r="56" spans="1:10" ht="42" customHeight="1">
      <c r="A56" s="578"/>
      <c r="B56" s="579" t="s">
        <v>821</v>
      </c>
      <c r="C56" s="589"/>
      <c r="D56" s="588" t="s">
        <v>1305</v>
      </c>
      <c r="E56" s="581">
        <v>5</v>
      </c>
      <c r="F56" s="853"/>
      <c r="G56" s="985"/>
      <c r="H56" s="223">
        <v>7.6</v>
      </c>
      <c r="I56" s="223">
        <f t="shared" ref="I56:I65" si="1">E56*H56</f>
        <v>38</v>
      </c>
    </row>
    <row r="57" spans="1:10" ht="15">
      <c r="A57" s="578"/>
      <c r="B57" s="579" t="s">
        <v>813</v>
      </c>
      <c r="C57" s="589"/>
      <c r="D57" s="588" t="s">
        <v>1304</v>
      </c>
      <c r="E57" s="581">
        <v>2.72</v>
      </c>
      <c r="F57" s="853"/>
      <c r="G57" s="985"/>
      <c r="H57" s="223">
        <v>2.5</v>
      </c>
      <c r="I57" s="223">
        <f t="shared" si="1"/>
        <v>6.8000000000000007</v>
      </c>
    </row>
    <row r="58" spans="1:10" ht="15">
      <c r="A58" s="578"/>
      <c r="B58" s="579" t="s">
        <v>812</v>
      </c>
      <c r="C58" s="589"/>
      <c r="D58" s="588" t="s">
        <v>1304</v>
      </c>
      <c r="E58" s="581">
        <v>2.72</v>
      </c>
      <c r="F58" s="853"/>
      <c r="G58" s="985"/>
      <c r="H58" s="223">
        <v>2.5</v>
      </c>
      <c r="I58" s="223">
        <f t="shared" si="1"/>
        <v>6.8000000000000007</v>
      </c>
    </row>
    <row r="59" spans="1:10" s="216" customFormat="1" ht="29.45" customHeight="1">
      <c r="A59" s="578"/>
      <c r="B59" s="579" t="s">
        <v>1307</v>
      </c>
      <c r="C59" s="589"/>
      <c r="D59" s="588" t="s">
        <v>1305</v>
      </c>
      <c r="E59" s="581">
        <v>0.27200000000000002</v>
      </c>
      <c r="F59" s="853"/>
      <c r="G59" s="985"/>
      <c r="H59" s="223">
        <v>65</v>
      </c>
      <c r="I59" s="223">
        <f t="shared" si="1"/>
        <v>17.68</v>
      </c>
    </row>
    <row r="60" spans="1:10" s="216" customFormat="1" ht="29.45" customHeight="1">
      <c r="A60" s="578"/>
      <c r="B60" s="579" t="s">
        <v>820</v>
      </c>
      <c r="C60" s="589"/>
      <c r="D60" s="588" t="s">
        <v>113</v>
      </c>
      <c r="E60" s="581">
        <v>1</v>
      </c>
      <c r="F60" s="853"/>
      <c r="G60" s="985"/>
      <c r="H60" s="223">
        <v>237.9</v>
      </c>
      <c r="I60" s="223">
        <f t="shared" si="1"/>
        <v>237.9</v>
      </c>
    </row>
    <row r="61" spans="1:10" s="216" customFormat="1" ht="42" customHeight="1">
      <c r="A61" s="578"/>
      <c r="B61" s="579" t="s">
        <v>819</v>
      </c>
      <c r="C61" s="589"/>
      <c r="D61" s="588" t="s">
        <v>113</v>
      </c>
      <c r="E61" s="581">
        <v>1</v>
      </c>
      <c r="F61" s="853"/>
      <c r="G61" s="985"/>
      <c r="H61" s="223">
        <v>158.6</v>
      </c>
      <c r="I61" s="223">
        <f t="shared" si="1"/>
        <v>158.6</v>
      </c>
    </row>
    <row r="62" spans="1:10" s="216" customFormat="1" ht="42.6" customHeight="1">
      <c r="A62" s="578"/>
      <c r="B62" s="579" t="s">
        <v>818</v>
      </c>
      <c r="C62" s="589"/>
      <c r="D62" s="588" t="s">
        <v>113</v>
      </c>
      <c r="E62" s="581">
        <v>1</v>
      </c>
      <c r="F62" s="853"/>
      <c r="G62" s="985"/>
      <c r="H62" s="223">
        <v>108.2</v>
      </c>
      <c r="I62" s="223">
        <f t="shared" si="1"/>
        <v>108.2</v>
      </c>
    </row>
    <row r="63" spans="1:10" s="216" customFormat="1" ht="53.25" customHeight="1">
      <c r="A63" s="578"/>
      <c r="B63" s="579" t="s">
        <v>817</v>
      </c>
      <c r="C63" s="589"/>
      <c r="D63" s="588" t="s">
        <v>1304</v>
      </c>
      <c r="E63" s="581">
        <v>0.2</v>
      </c>
      <c r="F63" s="853"/>
      <c r="G63" s="985"/>
      <c r="H63" s="223">
        <v>150</v>
      </c>
      <c r="I63" s="223">
        <f t="shared" si="1"/>
        <v>30</v>
      </c>
    </row>
    <row r="64" spans="1:10" s="216" customFormat="1" ht="41.45" customHeight="1">
      <c r="A64" s="578"/>
      <c r="B64" s="579" t="s">
        <v>816</v>
      </c>
      <c r="C64" s="589"/>
      <c r="D64" s="588" t="s">
        <v>1305</v>
      </c>
      <c r="E64" s="581">
        <v>1.87</v>
      </c>
      <c r="F64" s="853"/>
      <c r="G64" s="985"/>
      <c r="H64" s="223">
        <v>25.1</v>
      </c>
      <c r="I64" s="223">
        <f t="shared" si="1"/>
        <v>46.937000000000005</v>
      </c>
    </row>
    <row r="65" spans="1:16" s="216" customFormat="1" ht="43.15" customHeight="1">
      <c r="A65" s="578"/>
      <c r="B65" s="593" t="s">
        <v>807</v>
      </c>
      <c r="C65" s="580"/>
      <c r="D65" s="588" t="s">
        <v>1305</v>
      </c>
      <c r="E65" s="581">
        <v>3.13</v>
      </c>
      <c r="F65" s="853"/>
      <c r="G65" s="985"/>
      <c r="H65" s="223">
        <v>5.8</v>
      </c>
      <c r="I65" s="223">
        <f t="shared" si="1"/>
        <v>18.154</v>
      </c>
    </row>
    <row r="66" spans="1:16">
      <c r="A66" s="588"/>
      <c r="B66" s="594" t="s">
        <v>815</v>
      </c>
      <c r="C66" s="589"/>
      <c r="D66" s="595" t="s">
        <v>93</v>
      </c>
      <c r="E66" s="596">
        <v>5</v>
      </c>
      <c r="F66" s="856"/>
      <c r="G66" s="987">
        <f>ROUND(ROUND(E66,2)*ROUND(F66,2),2)</f>
        <v>0</v>
      </c>
      <c r="H66" s="227"/>
      <c r="I66" s="227">
        <f>SUM(I56:I65)</f>
        <v>669.07100000000003</v>
      </c>
      <c r="M66" s="225"/>
      <c r="O66" s="225"/>
      <c r="P66" s="224"/>
    </row>
    <row r="67" spans="1:16" ht="9" customHeight="1">
      <c r="A67" s="578"/>
      <c r="B67" s="593"/>
      <c r="C67" s="580"/>
      <c r="D67" s="588"/>
      <c r="E67" s="588"/>
      <c r="F67" s="855"/>
      <c r="G67" s="988"/>
      <c r="H67" s="216"/>
      <c r="I67" s="216"/>
    </row>
    <row r="68" spans="1:16" s="216" customFormat="1" ht="27.75" customHeight="1">
      <c r="A68" s="578">
        <f>A55+1</f>
        <v>26</v>
      </c>
      <c r="B68" s="593" t="s">
        <v>1367</v>
      </c>
      <c r="C68" s="580"/>
      <c r="D68" s="588"/>
      <c r="E68" s="588"/>
      <c r="F68" s="853"/>
      <c r="G68" s="985"/>
      <c r="H68" s="223"/>
      <c r="I68" s="223"/>
    </row>
    <row r="69" spans="1:16" ht="41.25" customHeight="1">
      <c r="A69" s="578"/>
      <c r="B69" s="593" t="s">
        <v>814</v>
      </c>
      <c r="C69" s="580"/>
      <c r="D69" s="588" t="s">
        <v>1305</v>
      </c>
      <c r="E69" s="581">
        <v>0.5</v>
      </c>
      <c r="F69" s="853"/>
      <c r="G69" s="985"/>
      <c r="H69" s="223">
        <v>7.6</v>
      </c>
      <c r="I69" s="223">
        <f t="shared" ref="I69:I79" si="2">E69*H69</f>
        <v>3.8</v>
      </c>
    </row>
    <row r="70" spans="1:16" ht="15">
      <c r="A70" s="578"/>
      <c r="B70" s="593" t="s">
        <v>813</v>
      </c>
      <c r="C70" s="580"/>
      <c r="D70" s="588" t="s">
        <v>1304</v>
      </c>
      <c r="E70" s="581">
        <v>0.4</v>
      </c>
      <c r="F70" s="853"/>
      <c r="G70" s="985"/>
      <c r="H70" s="223">
        <v>2.5</v>
      </c>
      <c r="I70" s="223">
        <f t="shared" si="2"/>
        <v>1</v>
      </c>
    </row>
    <row r="71" spans="1:16" ht="15">
      <c r="A71" s="578"/>
      <c r="B71" s="593" t="s">
        <v>812</v>
      </c>
      <c r="C71" s="580"/>
      <c r="D71" s="588" t="s">
        <v>1304</v>
      </c>
      <c r="E71" s="581">
        <v>0.4</v>
      </c>
      <c r="F71" s="853"/>
      <c r="G71" s="985"/>
      <c r="H71" s="223">
        <v>2.5</v>
      </c>
      <c r="I71" s="223">
        <f t="shared" si="2"/>
        <v>1</v>
      </c>
    </row>
    <row r="72" spans="1:16" s="216" customFormat="1" ht="29.25" customHeight="1">
      <c r="A72" s="578"/>
      <c r="B72" s="593" t="s">
        <v>1308</v>
      </c>
      <c r="C72" s="580"/>
      <c r="D72" s="588" t="s">
        <v>1305</v>
      </c>
      <c r="E72" s="592">
        <v>0.04</v>
      </c>
      <c r="F72" s="853"/>
      <c r="G72" s="985"/>
      <c r="H72" s="223">
        <v>65</v>
      </c>
      <c r="I72" s="223">
        <f t="shared" si="2"/>
        <v>2.6</v>
      </c>
    </row>
    <row r="73" spans="1:16" s="216" customFormat="1" ht="15" customHeight="1">
      <c r="A73" s="578"/>
      <c r="B73" s="593" t="s">
        <v>811</v>
      </c>
      <c r="C73" s="580"/>
      <c r="D73" s="588" t="s">
        <v>1304</v>
      </c>
      <c r="E73" s="581">
        <v>3.5</v>
      </c>
      <c r="F73" s="853"/>
      <c r="G73" s="985"/>
      <c r="H73" s="223">
        <v>20</v>
      </c>
      <c r="I73" s="223">
        <f t="shared" si="2"/>
        <v>70</v>
      </c>
    </row>
    <row r="74" spans="1:16" s="216" customFormat="1" ht="27.75" customHeight="1">
      <c r="A74" s="578"/>
      <c r="B74" s="593" t="s">
        <v>810</v>
      </c>
      <c r="C74" s="580"/>
      <c r="D74" s="588" t="s">
        <v>116</v>
      </c>
      <c r="E74" s="581">
        <v>8</v>
      </c>
      <c r="F74" s="853"/>
      <c r="G74" s="985"/>
      <c r="H74" s="223">
        <v>1.4</v>
      </c>
      <c r="I74" s="223">
        <f t="shared" si="2"/>
        <v>11.2</v>
      </c>
    </row>
    <row r="75" spans="1:16" s="216" customFormat="1" ht="27" customHeight="1">
      <c r="A75" s="578"/>
      <c r="B75" s="593" t="s">
        <v>809</v>
      </c>
      <c r="C75" s="580"/>
      <c r="D75" s="588" t="s">
        <v>113</v>
      </c>
      <c r="E75" s="581">
        <v>4</v>
      </c>
      <c r="F75" s="853"/>
      <c r="G75" s="985"/>
      <c r="H75" s="223">
        <v>8</v>
      </c>
      <c r="I75" s="223">
        <f t="shared" si="2"/>
        <v>32</v>
      </c>
    </row>
    <row r="76" spans="1:16" s="216" customFormat="1" ht="28.5" customHeight="1">
      <c r="A76" s="578"/>
      <c r="B76" s="593" t="s">
        <v>1309</v>
      </c>
      <c r="C76" s="580"/>
      <c r="D76" s="588" t="s">
        <v>1305</v>
      </c>
      <c r="E76" s="592">
        <v>0.25</v>
      </c>
      <c r="F76" s="853"/>
      <c r="G76" s="985"/>
      <c r="H76" s="223">
        <v>85</v>
      </c>
      <c r="I76" s="223">
        <f t="shared" si="2"/>
        <v>21.25</v>
      </c>
    </row>
    <row r="77" spans="1:16" s="216" customFormat="1" ht="27" customHeight="1">
      <c r="A77" s="578"/>
      <c r="B77" s="593" t="s">
        <v>1303</v>
      </c>
      <c r="C77" s="580"/>
      <c r="D77" s="588" t="s">
        <v>113</v>
      </c>
      <c r="E77" s="581">
        <v>1</v>
      </c>
      <c r="F77" s="853"/>
      <c r="G77" s="985"/>
      <c r="H77" s="223">
        <v>6.14</v>
      </c>
      <c r="I77" s="223">
        <f t="shared" si="2"/>
        <v>6.14</v>
      </c>
    </row>
    <row r="78" spans="1:16" s="216" customFormat="1" ht="42" customHeight="1">
      <c r="A78" s="578"/>
      <c r="B78" s="593" t="s">
        <v>808</v>
      </c>
      <c r="C78" s="580"/>
      <c r="D78" s="588" t="s">
        <v>1305</v>
      </c>
      <c r="E78" s="581">
        <v>0.2</v>
      </c>
      <c r="F78" s="853"/>
      <c r="G78" s="985"/>
      <c r="H78" s="223">
        <v>32.799999999999997</v>
      </c>
      <c r="I78" s="223">
        <f t="shared" si="2"/>
        <v>6.56</v>
      </c>
    </row>
    <row r="79" spans="1:16" s="216" customFormat="1" ht="41.45" customHeight="1">
      <c r="A79" s="578"/>
      <c r="B79" s="579" t="s">
        <v>807</v>
      </c>
      <c r="C79" s="580"/>
      <c r="D79" s="588" t="s">
        <v>1305</v>
      </c>
      <c r="E79" s="581">
        <v>0.15</v>
      </c>
      <c r="F79" s="853"/>
      <c r="G79" s="985"/>
      <c r="H79" s="223">
        <v>8</v>
      </c>
      <c r="I79" s="223">
        <f t="shared" si="2"/>
        <v>1.2</v>
      </c>
    </row>
    <row r="80" spans="1:16" ht="15" customHeight="1">
      <c r="A80" s="588"/>
      <c r="B80" s="594" t="s">
        <v>1368</v>
      </c>
      <c r="C80" s="597"/>
      <c r="D80" s="595" t="s">
        <v>93</v>
      </c>
      <c r="E80" s="596">
        <v>1</v>
      </c>
      <c r="F80" s="856"/>
      <c r="G80" s="987">
        <f>ROUND(ROUND(E80,2)*ROUND(F80,2),2)</f>
        <v>0</v>
      </c>
      <c r="H80" s="226"/>
      <c r="I80" s="226">
        <f>SUM(I69:I79)</f>
        <v>156.75</v>
      </c>
      <c r="J80" s="225"/>
      <c r="L80" s="225"/>
      <c r="M80" s="224"/>
    </row>
    <row r="81" spans="1:9" ht="9" customHeight="1">
      <c r="A81" s="578"/>
      <c r="B81" s="593"/>
      <c r="C81" s="580"/>
      <c r="D81" s="588"/>
      <c r="E81" s="581"/>
      <c r="F81" s="853"/>
      <c r="G81" s="987"/>
      <c r="H81" s="223"/>
      <c r="I81" s="223"/>
    </row>
    <row r="82" spans="1:9" s="216" customFormat="1" ht="82.15" customHeight="1">
      <c r="A82" s="578">
        <f>A68+1</f>
        <v>27</v>
      </c>
      <c r="B82" s="579" t="s">
        <v>806</v>
      </c>
      <c r="C82" s="580"/>
      <c r="D82" s="588" t="s">
        <v>113</v>
      </c>
      <c r="E82" s="588">
        <v>9</v>
      </c>
      <c r="F82" s="853"/>
      <c r="G82" s="987">
        <f t="shared" ref="G82" si="3">ROUND(ROUND(E82,2)*ROUND(F82,2),2)</f>
        <v>0</v>
      </c>
    </row>
    <row r="83" spans="1:9">
      <c r="A83" s="588"/>
      <c r="B83" s="589"/>
      <c r="C83" s="590"/>
      <c r="D83" s="588"/>
      <c r="E83" s="588"/>
      <c r="F83" s="853"/>
      <c r="G83" s="985"/>
      <c r="H83" s="216"/>
      <c r="I83" s="216"/>
    </row>
    <row r="84" spans="1:9" ht="15" customHeight="1" thickBot="1">
      <c r="A84" s="598" t="s">
        <v>805</v>
      </c>
      <c r="B84" s="599"/>
      <c r="C84" s="600"/>
      <c r="D84" s="601"/>
      <c r="E84" s="602"/>
      <c r="F84" s="857"/>
      <c r="G84" s="989">
        <f>ROUND(SUM(G5:G82),1)</f>
        <v>0</v>
      </c>
      <c r="H84" s="221"/>
      <c r="I84" s="220"/>
    </row>
    <row r="85" spans="1:9">
      <c r="A85" s="216"/>
      <c r="B85" s="218"/>
      <c r="C85" s="217"/>
      <c r="D85" s="216"/>
      <c r="E85" s="216"/>
      <c r="F85" s="858"/>
      <c r="G85" s="990"/>
      <c r="H85" s="216"/>
      <c r="I85" s="216"/>
    </row>
    <row r="86" spans="1:9">
      <c r="A86" s="216"/>
      <c r="B86" s="219"/>
      <c r="C86" s="217"/>
      <c r="D86" s="216"/>
      <c r="E86" s="216"/>
      <c r="F86" s="858"/>
      <c r="G86" s="990"/>
      <c r="H86" s="216"/>
      <c r="I86" s="216"/>
    </row>
    <row r="87" spans="1:9">
      <c r="A87" s="216"/>
      <c r="B87" s="218"/>
      <c r="C87" s="217"/>
      <c r="D87" s="216"/>
      <c r="E87" s="216"/>
      <c r="F87" s="858"/>
      <c r="G87" s="990"/>
      <c r="H87" s="216"/>
      <c r="I87" s="216"/>
    </row>
    <row r="88" spans="1:9">
      <c r="A88" s="216"/>
      <c r="B88" s="218"/>
      <c r="C88" s="217"/>
      <c r="D88" s="216"/>
      <c r="E88" s="216"/>
      <c r="F88" s="858"/>
      <c r="G88" s="990"/>
      <c r="H88" s="216"/>
      <c r="I88" s="216"/>
    </row>
    <row r="89" spans="1:9">
      <c r="A89" s="216"/>
      <c r="B89" s="218"/>
      <c r="C89" s="217"/>
      <c r="D89" s="216"/>
      <c r="E89" s="216"/>
      <c r="F89" s="858"/>
      <c r="G89" s="990"/>
      <c r="H89" s="216"/>
      <c r="I89" s="216"/>
    </row>
    <row r="90" spans="1:9">
      <c r="A90" s="216"/>
      <c r="B90" s="218"/>
      <c r="C90" s="217"/>
      <c r="D90" s="216"/>
      <c r="E90" s="216"/>
      <c r="F90" s="858"/>
      <c r="G90" s="990"/>
      <c r="H90" s="216"/>
      <c r="I90" s="216"/>
    </row>
    <row r="91" spans="1:9">
      <c r="A91" s="216"/>
      <c r="B91" s="218"/>
      <c r="C91" s="217"/>
      <c r="D91" s="216"/>
      <c r="E91" s="216"/>
      <c r="F91" s="858"/>
      <c r="G91" s="990"/>
      <c r="H91" s="216"/>
      <c r="I91" s="216"/>
    </row>
    <row r="92" spans="1:9">
      <c r="A92" s="216"/>
      <c r="B92" s="218"/>
      <c r="C92" s="217"/>
      <c r="D92" s="216"/>
      <c r="E92" s="216"/>
      <c r="F92" s="858"/>
      <c r="G92" s="990"/>
      <c r="H92" s="216"/>
      <c r="I92" s="216"/>
    </row>
    <row r="93" spans="1:9">
      <c r="A93" s="216"/>
      <c r="B93" s="218"/>
      <c r="C93" s="217"/>
      <c r="D93" s="216"/>
      <c r="E93" s="216"/>
      <c r="F93" s="858"/>
      <c r="G93" s="990"/>
      <c r="H93" s="216"/>
      <c r="I93" s="216"/>
    </row>
    <row r="94" spans="1:9">
      <c r="A94" s="216"/>
      <c r="B94" s="218"/>
      <c r="C94" s="217"/>
      <c r="D94" s="216"/>
      <c r="E94" s="216"/>
      <c r="F94" s="858"/>
      <c r="G94" s="990"/>
      <c r="H94" s="216"/>
      <c r="I94" s="216"/>
    </row>
    <row r="95" spans="1:9">
      <c r="A95" s="216"/>
      <c r="B95" s="218"/>
      <c r="C95" s="217"/>
      <c r="D95" s="216"/>
      <c r="E95" s="216"/>
      <c r="F95" s="858"/>
      <c r="G95" s="990"/>
      <c r="H95" s="216"/>
      <c r="I95" s="216"/>
    </row>
    <row r="96" spans="1:9">
      <c r="A96" s="216"/>
      <c r="B96" s="218"/>
      <c r="C96" s="217"/>
      <c r="D96" s="216"/>
      <c r="E96" s="216"/>
      <c r="F96" s="858"/>
      <c r="G96" s="990"/>
      <c r="H96" s="216"/>
      <c r="I96" s="216"/>
    </row>
    <row r="97" spans="1:9">
      <c r="A97" s="216"/>
      <c r="B97" s="218"/>
      <c r="C97" s="217"/>
      <c r="D97" s="216"/>
      <c r="E97" s="216"/>
      <c r="F97" s="858"/>
      <c r="G97" s="990"/>
      <c r="H97" s="216"/>
      <c r="I97" s="216"/>
    </row>
    <row r="98" spans="1:9">
      <c r="A98" s="216"/>
      <c r="B98" s="218"/>
      <c r="C98" s="217"/>
      <c r="D98" s="216"/>
      <c r="E98" s="216"/>
      <c r="F98" s="858"/>
      <c r="G98" s="990"/>
      <c r="H98" s="216"/>
      <c r="I98" s="216"/>
    </row>
    <row r="99" spans="1:9">
      <c r="A99" s="216"/>
      <c r="B99" s="218"/>
      <c r="C99" s="217"/>
      <c r="D99" s="216"/>
      <c r="E99" s="216"/>
      <c r="F99" s="858"/>
      <c r="G99" s="990"/>
      <c r="H99" s="216"/>
      <c r="I99" s="216"/>
    </row>
    <row r="100" spans="1:9">
      <c r="A100" s="216"/>
      <c r="B100" s="218"/>
      <c r="C100" s="217"/>
      <c r="D100" s="216"/>
      <c r="E100" s="216"/>
      <c r="F100" s="858"/>
      <c r="G100" s="990"/>
      <c r="H100" s="216"/>
      <c r="I100" s="216"/>
    </row>
    <row r="101" spans="1:9">
      <c r="A101" s="216"/>
      <c r="B101" s="218"/>
      <c r="C101" s="217"/>
      <c r="D101" s="216"/>
      <c r="E101" s="216"/>
      <c r="F101" s="858"/>
      <c r="G101" s="990"/>
      <c r="H101" s="216"/>
      <c r="I101" s="216"/>
    </row>
    <row r="102" spans="1:9">
      <c r="A102" s="216"/>
      <c r="B102" s="218"/>
      <c r="C102" s="217"/>
      <c r="D102" s="216"/>
      <c r="E102" s="216"/>
      <c r="F102" s="858"/>
      <c r="G102" s="990"/>
      <c r="H102" s="216"/>
      <c r="I102" s="216"/>
    </row>
    <row r="103" spans="1:9">
      <c r="A103" s="216"/>
      <c r="B103" s="218"/>
      <c r="C103" s="217"/>
      <c r="D103" s="216"/>
      <c r="E103" s="216"/>
      <c r="F103" s="858"/>
      <c r="G103" s="990"/>
      <c r="H103" s="216"/>
      <c r="I103" s="216"/>
    </row>
    <row r="104" spans="1:9">
      <c r="A104" s="216"/>
      <c r="B104" s="218"/>
      <c r="C104" s="217"/>
      <c r="D104" s="216"/>
      <c r="E104" s="216"/>
      <c r="F104" s="858"/>
      <c r="G104" s="990"/>
      <c r="H104" s="216"/>
      <c r="I104" s="216"/>
    </row>
    <row r="105" spans="1:9">
      <c r="A105" s="216"/>
      <c r="B105" s="218"/>
      <c r="C105" s="217"/>
      <c r="D105" s="216"/>
      <c r="E105" s="216"/>
      <c r="F105" s="858"/>
      <c r="G105" s="990"/>
      <c r="H105" s="216"/>
      <c r="I105" s="216"/>
    </row>
    <row r="106" spans="1:9">
      <c r="A106" s="216"/>
      <c r="B106" s="218"/>
      <c r="C106" s="217"/>
      <c r="D106" s="216"/>
      <c r="E106" s="216"/>
      <c r="F106" s="858"/>
      <c r="G106" s="990"/>
      <c r="H106" s="216"/>
      <c r="I106" s="216"/>
    </row>
    <row r="107" spans="1:9">
      <c r="A107" s="216"/>
      <c r="B107" s="218"/>
      <c r="C107" s="217"/>
      <c r="D107" s="216"/>
      <c r="E107" s="216"/>
      <c r="F107" s="858"/>
      <c r="G107" s="990"/>
      <c r="H107" s="216"/>
      <c r="I107" s="216"/>
    </row>
    <row r="108" spans="1:9">
      <c r="A108" s="216"/>
      <c r="B108" s="218"/>
      <c r="C108" s="217"/>
      <c r="D108" s="216"/>
      <c r="E108" s="216"/>
      <c r="F108" s="858"/>
      <c r="G108" s="990"/>
      <c r="H108" s="216"/>
      <c r="I108" s="216"/>
    </row>
    <row r="109" spans="1:9">
      <c r="A109" s="216"/>
      <c r="B109" s="218"/>
      <c r="C109" s="217"/>
      <c r="D109" s="216"/>
      <c r="E109" s="216"/>
      <c r="F109" s="858"/>
      <c r="G109" s="990"/>
      <c r="H109" s="216"/>
      <c r="I109" s="216"/>
    </row>
    <row r="110" spans="1:9">
      <c r="A110" s="216"/>
      <c r="B110" s="218"/>
      <c r="C110" s="217"/>
      <c r="D110" s="216"/>
      <c r="E110" s="216"/>
      <c r="F110" s="858"/>
      <c r="G110" s="990"/>
      <c r="H110" s="216"/>
      <c r="I110" s="216"/>
    </row>
    <row r="111" spans="1:9">
      <c r="A111" s="216"/>
      <c r="B111" s="218"/>
      <c r="C111" s="217"/>
      <c r="D111" s="216"/>
      <c r="E111" s="216"/>
      <c r="F111" s="858"/>
      <c r="G111" s="990"/>
      <c r="H111" s="216"/>
      <c r="I111" s="216"/>
    </row>
    <row r="112" spans="1:9">
      <c r="A112" s="216"/>
      <c r="B112" s="218"/>
      <c r="C112" s="217"/>
      <c r="D112" s="216"/>
      <c r="E112" s="216"/>
      <c r="F112" s="858"/>
      <c r="G112" s="990"/>
      <c r="H112" s="216"/>
      <c r="I112" s="216"/>
    </row>
    <row r="113" spans="1:9">
      <c r="A113" s="216"/>
      <c r="B113" s="218"/>
      <c r="C113" s="217"/>
      <c r="D113" s="216"/>
      <c r="E113" s="216"/>
      <c r="F113" s="858"/>
      <c r="G113" s="990"/>
      <c r="H113" s="216"/>
      <c r="I113" s="216"/>
    </row>
    <row r="114" spans="1:9">
      <c r="A114" s="216"/>
      <c r="B114" s="218"/>
      <c r="C114" s="217"/>
      <c r="D114" s="216"/>
      <c r="E114" s="216"/>
      <c r="F114" s="858"/>
      <c r="G114" s="990"/>
      <c r="H114" s="216"/>
      <c r="I114" s="216"/>
    </row>
    <row r="115" spans="1:9">
      <c r="A115" s="216"/>
      <c r="B115" s="218"/>
      <c r="C115" s="217"/>
      <c r="D115" s="216"/>
      <c r="E115" s="216"/>
      <c r="F115" s="858"/>
      <c r="G115" s="990"/>
      <c r="H115" s="216"/>
      <c r="I115" s="216"/>
    </row>
    <row r="116" spans="1:9">
      <c r="A116" s="216"/>
      <c r="B116" s="218"/>
      <c r="C116" s="217"/>
      <c r="D116" s="216"/>
      <c r="E116" s="216"/>
      <c r="F116" s="858"/>
      <c r="G116" s="990"/>
      <c r="H116" s="216"/>
      <c r="I116" s="216"/>
    </row>
    <row r="117" spans="1:9">
      <c r="A117" s="216"/>
      <c r="B117" s="218"/>
      <c r="C117" s="217"/>
      <c r="D117" s="216"/>
      <c r="E117" s="216"/>
      <c r="F117" s="858"/>
      <c r="G117" s="990"/>
      <c r="H117" s="216"/>
      <c r="I117" s="216"/>
    </row>
    <row r="118" spans="1:9">
      <c r="A118" s="216"/>
      <c r="B118" s="218"/>
      <c r="C118" s="217"/>
      <c r="D118" s="216"/>
      <c r="E118" s="216"/>
      <c r="F118" s="858"/>
      <c r="G118" s="990"/>
      <c r="H118" s="216"/>
      <c r="I118" s="216"/>
    </row>
    <row r="119" spans="1:9">
      <c r="A119" s="216"/>
      <c r="B119" s="218"/>
      <c r="C119" s="217"/>
      <c r="D119" s="216"/>
      <c r="E119" s="216"/>
      <c r="F119" s="858"/>
      <c r="G119" s="990"/>
      <c r="H119" s="216"/>
      <c r="I119" s="216"/>
    </row>
    <row r="120" spans="1:9">
      <c r="A120" s="216"/>
      <c r="B120" s="218"/>
      <c r="C120" s="217"/>
      <c r="D120" s="216"/>
      <c r="E120" s="216"/>
      <c r="F120" s="858"/>
      <c r="G120" s="990"/>
      <c r="H120" s="216"/>
      <c r="I120" s="216"/>
    </row>
    <row r="121" spans="1:9">
      <c r="A121" s="216"/>
      <c r="B121" s="218"/>
      <c r="C121" s="217"/>
      <c r="D121" s="216"/>
      <c r="E121" s="216"/>
      <c r="F121" s="858"/>
      <c r="G121" s="990"/>
      <c r="H121" s="216"/>
      <c r="I121" s="216"/>
    </row>
    <row r="122" spans="1:9">
      <c r="A122" s="216"/>
      <c r="B122" s="218"/>
      <c r="C122" s="217"/>
      <c r="D122" s="216"/>
      <c r="E122" s="216"/>
      <c r="F122" s="858"/>
      <c r="G122" s="990"/>
      <c r="H122" s="216"/>
      <c r="I122" s="216"/>
    </row>
    <row r="123" spans="1:9">
      <c r="A123" s="216"/>
      <c r="B123" s="218"/>
      <c r="C123" s="217"/>
      <c r="D123" s="216"/>
      <c r="E123" s="216"/>
      <c r="F123" s="858"/>
      <c r="G123" s="990"/>
      <c r="H123" s="216"/>
      <c r="I123" s="216"/>
    </row>
    <row r="124" spans="1:9">
      <c r="A124" s="216"/>
      <c r="B124" s="218"/>
      <c r="C124" s="217"/>
      <c r="D124" s="216"/>
      <c r="E124" s="216"/>
      <c r="F124" s="858"/>
      <c r="G124" s="990"/>
      <c r="H124" s="216"/>
      <c r="I124" s="216"/>
    </row>
    <row r="125" spans="1:9">
      <c r="A125" s="216"/>
      <c r="B125" s="218"/>
      <c r="C125" s="217"/>
      <c r="D125" s="216"/>
      <c r="E125" s="216"/>
      <c r="F125" s="858"/>
      <c r="G125" s="990"/>
      <c r="H125" s="216"/>
      <c r="I125" s="216"/>
    </row>
    <row r="126" spans="1:9">
      <c r="A126" s="216"/>
      <c r="B126" s="218"/>
      <c r="C126" s="217"/>
      <c r="D126" s="216"/>
      <c r="E126" s="216"/>
      <c r="F126" s="858"/>
      <c r="G126" s="990"/>
      <c r="H126" s="216"/>
      <c r="I126" s="216"/>
    </row>
    <row r="127" spans="1:9">
      <c r="A127" s="216"/>
      <c r="B127" s="218"/>
      <c r="C127" s="217"/>
      <c r="D127" s="216"/>
      <c r="E127" s="216"/>
      <c r="F127" s="858"/>
      <c r="G127" s="990"/>
      <c r="H127" s="216"/>
      <c r="I127" s="216"/>
    </row>
    <row r="128" spans="1:9">
      <c r="A128" s="216"/>
      <c r="B128" s="218"/>
      <c r="C128" s="217"/>
      <c r="D128" s="216"/>
      <c r="E128" s="216"/>
      <c r="F128" s="858"/>
      <c r="G128" s="990"/>
      <c r="H128" s="216"/>
      <c r="I128" s="216"/>
    </row>
    <row r="129" spans="1:9">
      <c r="A129" s="216"/>
      <c r="B129" s="218"/>
      <c r="C129" s="217"/>
      <c r="D129" s="216"/>
      <c r="E129" s="216"/>
      <c r="F129" s="858"/>
      <c r="G129" s="990"/>
      <c r="H129" s="216"/>
      <c r="I129" s="216"/>
    </row>
    <row r="130" spans="1:9">
      <c r="A130" s="216"/>
      <c r="B130" s="218"/>
      <c r="C130" s="217"/>
      <c r="D130" s="216"/>
      <c r="E130" s="216"/>
      <c r="F130" s="858"/>
      <c r="G130" s="990"/>
      <c r="H130" s="216"/>
      <c r="I130" s="216"/>
    </row>
    <row r="131" spans="1:9">
      <c r="A131" s="216"/>
      <c r="B131" s="218"/>
      <c r="C131" s="217"/>
      <c r="D131" s="216"/>
      <c r="E131" s="216"/>
      <c r="F131" s="858"/>
      <c r="G131" s="990"/>
      <c r="H131" s="216"/>
      <c r="I131" s="216"/>
    </row>
    <row r="132" spans="1:9">
      <c r="A132" s="216"/>
      <c r="B132" s="218"/>
      <c r="C132" s="217"/>
      <c r="D132" s="216"/>
      <c r="E132" s="216"/>
      <c r="F132" s="858"/>
      <c r="G132" s="990"/>
      <c r="H132" s="216"/>
      <c r="I132" s="216"/>
    </row>
    <row r="133" spans="1:9">
      <c r="A133" s="216"/>
      <c r="B133" s="218"/>
      <c r="C133" s="217"/>
      <c r="D133" s="216"/>
      <c r="E133" s="216"/>
      <c r="F133" s="858"/>
      <c r="G133" s="990"/>
      <c r="H133" s="216"/>
      <c r="I133" s="216"/>
    </row>
    <row r="134" spans="1:9">
      <c r="A134" s="216"/>
      <c r="B134" s="218"/>
      <c r="C134" s="217"/>
      <c r="D134" s="216"/>
      <c r="E134" s="216"/>
      <c r="F134" s="858"/>
      <c r="G134" s="990"/>
      <c r="H134" s="216"/>
      <c r="I134" s="216"/>
    </row>
    <row r="135" spans="1:9">
      <c r="A135" s="216"/>
      <c r="B135" s="218"/>
      <c r="C135" s="217"/>
      <c r="D135" s="216"/>
      <c r="E135" s="216"/>
      <c r="F135" s="858"/>
      <c r="G135" s="990"/>
      <c r="H135" s="216"/>
      <c r="I135" s="216"/>
    </row>
    <row r="136" spans="1:9">
      <c r="A136" s="216"/>
      <c r="B136" s="218"/>
      <c r="C136" s="217"/>
      <c r="D136" s="216"/>
      <c r="E136" s="216"/>
      <c r="F136" s="858"/>
      <c r="G136" s="990"/>
      <c r="H136" s="216"/>
      <c r="I136" s="216"/>
    </row>
    <row r="137" spans="1:9">
      <c r="A137" s="216"/>
      <c r="B137" s="218"/>
      <c r="C137" s="217"/>
      <c r="D137" s="216"/>
      <c r="E137" s="216"/>
      <c r="F137" s="858"/>
      <c r="G137" s="990"/>
      <c r="H137" s="216"/>
      <c r="I137" s="216"/>
    </row>
    <row r="138" spans="1:9">
      <c r="A138" s="216"/>
      <c r="B138" s="218"/>
      <c r="C138" s="217"/>
      <c r="D138" s="216"/>
      <c r="E138" s="216"/>
      <c r="F138" s="858"/>
      <c r="G138" s="990"/>
      <c r="H138" s="216"/>
      <c r="I138" s="216"/>
    </row>
    <row r="139" spans="1:9">
      <c r="A139" s="216"/>
      <c r="B139" s="218"/>
      <c r="C139" s="217"/>
      <c r="D139" s="216"/>
      <c r="E139" s="216"/>
      <c r="F139" s="858"/>
      <c r="G139" s="990"/>
      <c r="H139" s="216"/>
      <c r="I139" s="216"/>
    </row>
    <row r="140" spans="1:9">
      <c r="A140" s="216"/>
      <c r="B140" s="218"/>
      <c r="C140" s="217"/>
      <c r="D140" s="216"/>
      <c r="E140" s="216"/>
      <c r="F140" s="858"/>
      <c r="G140" s="990"/>
      <c r="H140" s="216"/>
      <c r="I140" s="216"/>
    </row>
    <row r="141" spans="1:9">
      <c r="A141" s="216"/>
      <c r="B141" s="218"/>
      <c r="C141" s="217"/>
      <c r="D141" s="216"/>
      <c r="E141" s="216"/>
      <c r="F141" s="858"/>
      <c r="G141" s="990"/>
      <c r="H141" s="216"/>
      <c r="I141" s="216"/>
    </row>
    <row r="142" spans="1:9">
      <c r="A142" s="216"/>
      <c r="B142" s="218"/>
      <c r="C142" s="217"/>
      <c r="D142" s="216"/>
      <c r="E142" s="216"/>
      <c r="F142" s="858"/>
      <c r="G142" s="990"/>
      <c r="H142" s="216"/>
      <c r="I142" s="216"/>
    </row>
    <row r="143" spans="1:9">
      <c r="A143" s="216"/>
      <c r="B143" s="218"/>
      <c r="C143" s="217"/>
      <c r="D143" s="216"/>
      <c r="E143" s="216"/>
      <c r="F143" s="858"/>
      <c r="G143" s="990"/>
      <c r="H143" s="216"/>
      <c r="I143" s="216"/>
    </row>
    <row r="144" spans="1:9">
      <c r="A144" s="216"/>
      <c r="B144" s="218"/>
      <c r="C144" s="217"/>
      <c r="D144" s="216"/>
      <c r="E144" s="216"/>
      <c r="F144" s="858"/>
      <c r="G144" s="990"/>
      <c r="H144" s="216"/>
      <c r="I144" s="216"/>
    </row>
    <row r="145" spans="1:9">
      <c r="A145" s="216"/>
      <c r="B145" s="218"/>
      <c r="C145" s="217"/>
      <c r="D145" s="216"/>
      <c r="E145" s="216"/>
      <c r="F145" s="858"/>
      <c r="G145" s="990"/>
      <c r="H145" s="216"/>
      <c r="I145" s="216"/>
    </row>
    <row r="146" spans="1:9">
      <c r="A146" s="216"/>
      <c r="B146" s="218"/>
      <c r="C146" s="217"/>
      <c r="D146" s="216"/>
      <c r="E146" s="216"/>
      <c r="F146" s="858"/>
      <c r="G146" s="990"/>
      <c r="H146" s="216"/>
      <c r="I146" s="216"/>
    </row>
    <row r="147" spans="1:9">
      <c r="A147" s="216"/>
      <c r="B147" s="218"/>
      <c r="C147" s="217"/>
      <c r="D147" s="216"/>
      <c r="E147" s="216"/>
      <c r="F147" s="858"/>
      <c r="G147" s="990"/>
      <c r="H147" s="216"/>
      <c r="I147" s="216"/>
    </row>
    <row r="148" spans="1:9">
      <c r="A148" s="216"/>
      <c r="B148" s="218"/>
      <c r="C148" s="217"/>
      <c r="D148" s="216"/>
      <c r="E148" s="216"/>
      <c r="F148" s="858"/>
      <c r="G148" s="990"/>
      <c r="H148" s="216"/>
      <c r="I148" s="216"/>
    </row>
    <row r="149" spans="1:9">
      <c r="A149" s="216"/>
      <c r="B149" s="218"/>
      <c r="C149" s="217"/>
      <c r="D149" s="216"/>
      <c r="E149" s="216"/>
      <c r="F149" s="858"/>
      <c r="G149" s="990"/>
      <c r="H149" s="216"/>
      <c r="I149" s="216"/>
    </row>
    <row r="150" spans="1:9">
      <c r="A150" s="216"/>
      <c r="B150" s="218"/>
      <c r="C150" s="217"/>
      <c r="D150" s="216"/>
      <c r="E150" s="216"/>
      <c r="F150" s="858"/>
      <c r="G150" s="990"/>
      <c r="H150" s="216"/>
      <c r="I150" s="216"/>
    </row>
    <row r="151" spans="1:9">
      <c r="A151" s="216"/>
      <c r="B151" s="218"/>
      <c r="C151" s="217"/>
      <c r="D151" s="216"/>
      <c r="E151" s="216"/>
      <c r="F151" s="858"/>
      <c r="G151" s="990"/>
      <c r="H151" s="216"/>
      <c r="I151" s="216"/>
    </row>
    <row r="152" spans="1:9">
      <c r="A152" s="216"/>
      <c r="B152" s="218"/>
      <c r="C152" s="217"/>
      <c r="D152" s="216"/>
      <c r="E152" s="216"/>
      <c r="F152" s="858"/>
      <c r="G152" s="990"/>
      <c r="H152" s="216"/>
      <c r="I152" s="216"/>
    </row>
    <row r="153" spans="1:9">
      <c r="A153" s="216"/>
      <c r="B153" s="218"/>
      <c r="C153" s="217"/>
      <c r="D153" s="216"/>
      <c r="E153" s="216"/>
      <c r="F153" s="858"/>
      <c r="G153" s="990"/>
      <c r="H153" s="216"/>
      <c r="I153" s="216"/>
    </row>
    <row r="154" spans="1:9">
      <c r="A154" s="216"/>
      <c r="B154" s="218"/>
      <c r="C154" s="217"/>
      <c r="D154" s="216"/>
      <c r="E154" s="216"/>
      <c r="F154" s="858"/>
      <c r="G154" s="990"/>
      <c r="H154" s="216"/>
      <c r="I154" s="216"/>
    </row>
    <row r="155" spans="1:9">
      <c r="A155" s="216"/>
      <c r="B155" s="218"/>
      <c r="C155" s="217"/>
      <c r="D155" s="216"/>
      <c r="E155" s="216"/>
      <c r="F155" s="858"/>
      <c r="G155" s="990"/>
      <c r="H155" s="216"/>
      <c r="I155" s="216"/>
    </row>
    <row r="156" spans="1:9">
      <c r="A156" s="216"/>
      <c r="B156" s="218"/>
      <c r="C156" s="217"/>
      <c r="D156" s="216"/>
      <c r="E156" s="216"/>
      <c r="F156" s="858"/>
      <c r="G156" s="990"/>
      <c r="H156" s="216"/>
      <c r="I156" s="216"/>
    </row>
    <row r="157" spans="1:9">
      <c r="A157" s="216"/>
      <c r="B157" s="218"/>
      <c r="C157" s="217"/>
      <c r="D157" s="216"/>
      <c r="E157" s="216"/>
      <c r="F157" s="858"/>
      <c r="G157" s="990"/>
      <c r="H157" s="216"/>
      <c r="I157" s="216"/>
    </row>
    <row r="158" spans="1:9">
      <c r="A158" s="216"/>
      <c r="B158" s="218"/>
      <c r="C158" s="217"/>
      <c r="D158" s="216"/>
      <c r="E158" s="216"/>
      <c r="F158" s="858"/>
      <c r="G158" s="990"/>
      <c r="H158" s="216"/>
      <c r="I158" s="216"/>
    </row>
    <row r="159" spans="1:9">
      <c r="A159" s="216"/>
      <c r="B159" s="218"/>
      <c r="C159" s="217"/>
      <c r="D159" s="216"/>
      <c r="E159" s="216"/>
      <c r="F159" s="858"/>
      <c r="G159" s="990"/>
      <c r="H159" s="216"/>
      <c r="I159" s="216"/>
    </row>
    <row r="160" spans="1:9">
      <c r="A160" s="216"/>
      <c r="B160" s="218"/>
      <c r="C160" s="217"/>
      <c r="D160" s="216"/>
      <c r="E160" s="216"/>
      <c r="F160" s="858"/>
      <c r="G160" s="990"/>
      <c r="H160" s="216"/>
      <c r="I160" s="216"/>
    </row>
    <row r="161" spans="1:9">
      <c r="A161" s="216"/>
      <c r="B161" s="218"/>
      <c r="C161" s="217"/>
      <c r="D161" s="216"/>
      <c r="E161" s="216"/>
      <c r="F161" s="858"/>
      <c r="G161" s="990"/>
      <c r="H161" s="216"/>
      <c r="I161" s="216"/>
    </row>
    <row r="162" spans="1:9">
      <c r="A162" s="216"/>
      <c r="B162" s="218"/>
      <c r="C162" s="217"/>
      <c r="D162" s="216"/>
      <c r="E162" s="216"/>
      <c r="F162" s="858"/>
      <c r="G162" s="990"/>
      <c r="H162" s="216"/>
      <c r="I162" s="216"/>
    </row>
    <row r="163" spans="1:9">
      <c r="A163" s="216"/>
      <c r="B163" s="218"/>
      <c r="C163" s="217"/>
      <c r="D163" s="216"/>
      <c r="E163" s="216"/>
      <c r="F163" s="858"/>
      <c r="G163" s="990"/>
      <c r="H163" s="216"/>
      <c r="I163" s="216"/>
    </row>
    <row r="164" spans="1:9">
      <c r="A164" s="216"/>
      <c r="B164" s="218"/>
      <c r="C164" s="217"/>
      <c r="D164" s="216"/>
      <c r="E164" s="216"/>
      <c r="F164" s="858"/>
      <c r="G164" s="990"/>
      <c r="H164" s="216"/>
      <c r="I164" s="216"/>
    </row>
    <row r="165" spans="1:9">
      <c r="A165" s="216"/>
      <c r="B165" s="218"/>
      <c r="C165" s="217"/>
      <c r="D165" s="216"/>
      <c r="E165" s="216"/>
      <c r="F165" s="858"/>
      <c r="G165" s="990"/>
      <c r="H165" s="216"/>
      <c r="I165" s="216"/>
    </row>
    <row r="166" spans="1:9">
      <c r="A166" s="216"/>
      <c r="B166" s="218"/>
      <c r="C166" s="217"/>
      <c r="D166" s="216"/>
      <c r="E166" s="216"/>
      <c r="F166" s="858"/>
      <c r="G166" s="990"/>
      <c r="H166" s="216"/>
      <c r="I166" s="216"/>
    </row>
    <row r="167" spans="1:9">
      <c r="A167" s="216"/>
      <c r="B167" s="218"/>
      <c r="C167" s="217"/>
      <c r="D167" s="216"/>
      <c r="E167" s="216"/>
      <c r="F167" s="858"/>
      <c r="G167" s="990"/>
      <c r="H167" s="216"/>
      <c r="I167" s="216"/>
    </row>
    <row r="168" spans="1:9">
      <c r="A168" s="216"/>
      <c r="B168" s="218"/>
      <c r="C168" s="217"/>
      <c r="D168" s="216"/>
      <c r="E168" s="216"/>
      <c r="F168" s="858"/>
      <c r="G168" s="990"/>
      <c r="H168" s="216"/>
      <c r="I168" s="216"/>
    </row>
    <row r="169" spans="1:9">
      <c r="A169" s="216"/>
      <c r="B169" s="218"/>
      <c r="C169" s="217"/>
      <c r="D169" s="216"/>
      <c r="E169" s="216"/>
      <c r="F169" s="858"/>
      <c r="G169" s="990"/>
      <c r="H169" s="216"/>
      <c r="I169" s="216"/>
    </row>
    <row r="170" spans="1:9">
      <c r="A170" s="216"/>
      <c r="B170" s="218"/>
      <c r="C170" s="217"/>
      <c r="D170" s="216"/>
      <c r="E170" s="216"/>
      <c r="F170" s="858"/>
      <c r="G170" s="990"/>
      <c r="H170" s="216"/>
      <c r="I170" s="216"/>
    </row>
    <row r="171" spans="1:9">
      <c r="A171" s="216"/>
      <c r="B171" s="218"/>
      <c r="C171" s="217"/>
      <c r="D171" s="216"/>
      <c r="E171" s="216"/>
      <c r="F171" s="858"/>
      <c r="G171" s="990"/>
      <c r="H171" s="216"/>
      <c r="I171" s="216"/>
    </row>
    <row r="172" spans="1:9">
      <c r="A172" s="216"/>
      <c r="B172" s="218"/>
      <c r="C172" s="217"/>
      <c r="D172" s="216"/>
      <c r="E172" s="216"/>
      <c r="F172" s="858"/>
      <c r="G172" s="990"/>
      <c r="H172" s="216"/>
      <c r="I172" s="216"/>
    </row>
    <row r="173" spans="1:9">
      <c r="A173" s="216"/>
      <c r="B173" s="218"/>
      <c r="C173" s="217"/>
      <c r="D173" s="216"/>
      <c r="E173" s="216"/>
      <c r="F173" s="858"/>
      <c r="G173" s="990"/>
      <c r="H173" s="216"/>
      <c r="I173" s="216"/>
    </row>
    <row r="174" spans="1:9">
      <c r="A174" s="216"/>
      <c r="B174" s="218"/>
      <c r="C174" s="217"/>
      <c r="D174" s="216"/>
      <c r="E174" s="216"/>
      <c r="F174" s="858"/>
      <c r="G174" s="990"/>
      <c r="H174" s="216"/>
      <c r="I174" s="216"/>
    </row>
    <row r="175" spans="1:9">
      <c r="A175" s="216"/>
      <c r="B175" s="218"/>
      <c r="C175" s="217"/>
      <c r="D175" s="216"/>
      <c r="E175" s="216"/>
      <c r="F175" s="858"/>
      <c r="G175" s="990"/>
      <c r="H175" s="216"/>
      <c r="I175" s="216"/>
    </row>
    <row r="176" spans="1:9">
      <c r="A176" s="216"/>
      <c r="B176" s="218"/>
      <c r="C176" s="217"/>
      <c r="D176" s="216"/>
      <c r="E176" s="216"/>
      <c r="F176" s="858"/>
      <c r="G176" s="990"/>
      <c r="H176" s="216"/>
      <c r="I176" s="216"/>
    </row>
    <row r="177" spans="1:9">
      <c r="A177" s="216"/>
      <c r="B177" s="218"/>
      <c r="C177" s="217"/>
      <c r="D177" s="216"/>
      <c r="E177" s="216"/>
      <c r="F177" s="858"/>
      <c r="G177" s="990"/>
      <c r="H177" s="216"/>
      <c r="I177" s="216"/>
    </row>
    <row r="178" spans="1:9">
      <c r="A178" s="216"/>
      <c r="B178" s="218"/>
      <c r="C178" s="217"/>
      <c r="D178" s="216"/>
      <c r="E178" s="216"/>
      <c r="F178" s="858"/>
      <c r="G178" s="990"/>
      <c r="H178" s="216"/>
      <c r="I178" s="216"/>
    </row>
    <row r="179" spans="1:9">
      <c r="A179" s="216"/>
      <c r="B179" s="218"/>
      <c r="C179" s="217"/>
      <c r="D179" s="216"/>
      <c r="E179" s="216"/>
      <c r="F179" s="858"/>
      <c r="G179" s="990"/>
      <c r="H179" s="216"/>
      <c r="I179" s="216"/>
    </row>
    <row r="180" spans="1:9">
      <c r="A180" s="216"/>
      <c r="B180" s="218"/>
      <c r="C180" s="217"/>
      <c r="D180" s="216"/>
      <c r="E180" s="216"/>
      <c r="F180" s="858"/>
      <c r="G180" s="990"/>
      <c r="H180" s="216"/>
      <c r="I180" s="216"/>
    </row>
    <row r="181" spans="1:9">
      <c r="A181" s="216"/>
      <c r="B181" s="218"/>
      <c r="C181" s="217"/>
      <c r="D181" s="216"/>
      <c r="E181" s="216"/>
      <c r="F181" s="858"/>
      <c r="G181" s="990"/>
      <c r="H181" s="216"/>
      <c r="I181" s="216"/>
    </row>
    <row r="182" spans="1:9">
      <c r="A182" s="216"/>
      <c r="B182" s="218"/>
      <c r="C182" s="217"/>
      <c r="D182" s="216"/>
      <c r="E182" s="216"/>
      <c r="F182" s="858"/>
      <c r="G182" s="990"/>
      <c r="H182" s="216"/>
      <c r="I182" s="216"/>
    </row>
    <row r="183" spans="1:9">
      <c r="A183" s="216"/>
      <c r="B183" s="218"/>
      <c r="C183" s="217"/>
      <c r="D183" s="216"/>
      <c r="E183" s="216"/>
      <c r="F183" s="858"/>
      <c r="G183" s="990"/>
      <c r="H183" s="216"/>
      <c r="I183" s="216"/>
    </row>
    <row r="184" spans="1:9">
      <c r="A184" s="216"/>
      <c r="B184" s="218"/>
      <c r="C184" s="217"/>
      <c r="D184" s="216"/>
      <c r="E184" s="216"/>
      <c r="F184" s="858"/>
      <c r="G184" s="990"/>
      <c r="H184" s="216"/>
      <c r="I184" s="216"/>
    </row>
    <row r="185" spans="1:9">
      <c r="A185" s="216"/>
      <c r="B185" s="218"/>
      <c r="C185" s="217"/>
      <c r="D185" s="216"/>
      <c r="E185" s="216"/>
      <c r="F185" s="858"/>
      <c r="G185" s="990"/>
      <c r="H185" s="216"/>
      <c r="I185" s="216"/>
    </row>
    <row r="186" spans="1:9">
      <c r="A186" s="216"/>
      <c r="B186" s="218"/>
      <c r="C186" s="217"/>
      <c r="D186" s="216"/>
      <c r="E186" s="216"/>
      <c r="F186" s="858"/>
      <c r="G186" s="990"/>
      <c r="H186" s="216"/>
      <c r="I186" s="216"/>
    </row>
    <row r="187" spans="1:9">
      <c r="A187" s="216"/>
      <c r="B187" s="218"/>
      <c r="C187" s="217"/>
      <c r="D187" s="216"/>
      <c r="E187" s="216"/>
      <c r="F187" s="858"/>
      <c r="G187" s="990"/>
      <c r="H187" s="216"/>
      <c r="I187" s="216"/>
    </row>
    <row r="188" spans="1:9">
      <c r="A188" s="216"/>
      <c r="B188" s="218"/>
      <c r="C188" s="217"/>
      <c r="D188" s="216"/>
      <c r="E188" s="216"/>
      <c r="F188" s="858"/>
      <c r="G188" s="990"/>
      <c r="H188" s="216"/>
      <c r="I188" s="216"/>
    </row>
    <row r="189" spans="1:9">
      <c r="A189" s="216"/>
      <c r="B189" s="218"/>
      <c r="C189" s="217"/>
      <c r="D189" s="216"/>
      <c r="E189" s="216"/>
      <c r="F189" s="858"/>
      <c r="G189" s="990"/>
      <c r="H189" s="216"/>
      <c r="I189" s="216"/>
    </row>
    <row r="190" spans="1:9">
      <c r="A190" s="216"/>
      <c r="B190" s="218"/>
      <c r="C190" s="217"/>
      <c r="D190" s="216"/>
      <c r="E190" s="216"/>
      <c r="F190" s="858"/>
      <c r="G190" s="990"/>
      <c r="H190" s="216"/>
      <c r="I190" s="216"/>
    </row>
    <row r="191" spans="1:9">
      <c r="A191" s="216"/>
      <c r="B191" s="218"/>
      <c r="C191" s="217"/>
      <c r="D191" s="216"/>
      <c r="E191" s="216"/>
      <c r="F191" s="858"/>
      <c r="G191" s="990"/>
      <c r="H191" s="216"/>
      <c r="I191" s="216"/>
    </row>
    <row r="192" spans="1:9">
      <c r="A192" s="216"/>
      <c r="B192" s="218"/>
      <c r="C192" s="217"/>
      <c r="D192" s="216"/>
      <c r="E192" s="216"/>
      <c r="F192" s="858"/>
      <c r="G192" s="990"/>
      <c r="H192" s="216"/>
      <c r="I192" s="216"/>
    </row>
    <row r="193" spans="1:9">
      <c r="A193" s="216"/>
      <c r="B193" s="218"/>
      <c r="C193" s="217"/>
      <c r="D193" s="216"/>
      <c r="E193" s="216"/>
      <c r="F193" s="858"/>
      <c r="G193" s="990"/>
      <c r="H193" s="216"/>
      <c r="I193" s="216"/>
    </row>
    <row r="194" spans="1:9">
      <c r="A194" s="216"/>
      <c r="B194" s="218"/>
      <c r="C194" s="217"/>
      <c r="D194" s="216"/>
      <c r="E194" s="216"/>
      <c r="F194" s="858"/>
      <c r="G194" s="990"/>
      <c r="H194" s="216"/>
      <c r="I194" s="216"/>
    </row>
    <row r="195" spans="1:9">
      <c r="A195" s="216"/>
      <c r="B195" s="218"/>
      <c r="C195" s="217"/>
      <c r="D195" s="216"/>
      <c r="E195" s="216"/>
      <c r="F195" s="858"/>
      <c r="G195" s="990"/>
      <c r="H195" s="216"/>
      <c r="I195" s="216"/>
    </row>
    <row r="196" spans="1:9">
      <c r="A196" s="216"/>
      <c r="B196" s="218"/>
      <c r="C196" s="217"/>
      <c r="D196" s="216"/>
      <c r="E196" s="216"/>
      <c r="F196" s="858"/>
      <c r="G196" s="990"/>
      <c r="H196" s="216"/>
      <c r="I196" s="216"/>
    </row>
    <row r="197" spans="1:9">
      <c r="A197" s="216"/>
      <c r="B197" s="218"/>
      <c r="C197" s="217"/>
      <c r="D197" s="216"/>
      <c r="E197" s="216"/>
      <c r="F197" s="858"/>
      <c r="G197" s="990"/>
      <c r="H197" s="216"/>
      <c r="I197" s="216"/>
    </row>
    <row r="198" spans="1:9">
      <c r="A198" s="216"/>
      <c r="B198" s="218"/>
      <c r="C198" s="217"/>
      <c r="D198" s="216"/>
      <c r="E198" s="216"/>
      <c r="F198" s="858"/>
      <c r="G198" s="990"/>
      <c r="H198" s="216"/>
      <c r="I198" s="216"/>
    </row>
    <row r="199" spans="1:9">
      <c r="A199" s="216"/>
      <c r="B199" s="218"/>
      <c r="C199" s="217"/>
      <c r="D199" s="216"/>
      <c r="E199" s="216"/>
      <c r="F199" s="858"/>
      <c r="G199" s="990"/>
      <c r="H199" s="216"/>
      <c r="I199" s="216"/>
    </row>
    <row r="200" spans="1:9">
      <c r="A200" s="216"/>
      <c r="B200" s="218"/>
      <c r="C200" s="217"/>
      <c r="D200" s="216"/>
      <c r="E200" s="216"/>
      <c r="F200" s="858"/>
      <c r="G200" s="990"/>
      <c r="H200" s="216"/>
      <c r="I200" s="216"/>
    </row>
    <row r="201" spans="1:9">
      <c r="A201" s="216"/>
      <c r="B201" s="218"/>
      <c r="C201" s="217"/>
      <c r="D201" s="216"/>
      <c r="E201" s="216"/>
      <c r="F201" s="858"/>
      <c r="G201" s="990"/>
      <c r="H201" s="216"/>
      <c r="I201" s="216"/>
    </row>
    <row r="202" spans="1:9">
      <c r="A202" s="216"/>
      <c r="B202" s="218"/>
      <c r="C202" s="217"/>
      <c r="D202" s="216"/>
      <c r="E202" s="216"/>
      <c r="F202" s="858"/>
      <c r="G202" s="990"/>
      <c r="H202" s="216"/>
      <c r="I202" s="216"/>
    </row>
    <row r="203" spans="1:9">
      <c r="A203" s="216"/>
      <c r="B203" s="218"/>
      <c r="C203" s="217"/>
      <c r="D203" s="216"/>
      <c r="E203" s="216"/>
      <c r="F203" s="858"/>
      <c r="G203" s="990"/>
      <c r="H203" s="216"/>
      <c r="I203" s="216"/>
    </row>
    <row r="204" spans="1:9">
      <c r="A204" s="216"/>
      <c r="B204" s="218"/>
      <c r="C204" s="217"/>
      <c r="D204" s="216"/>
      <c r="E204" s="216"/>
      <c r="F204" s="858"/>
      <c r="G204" s="990"/>
      <c r="H204" s="216"/>
      <c r="I204" s="216"/>
    </row>
    <row r="205" spans="1:9">
      <c r="A205" s="216"/>
      <c r="B205" s="218"/>
      <c r="C205" s="217"/>
      <c r="D205" s="216"/>
      <c r="E205" s="216"/>
      <c r="F205" s="858"/>
      <c r="G205" s="990"/>
      <c r="H205" s="216"/>
      <c r="I205" s="216"/>
    </row>
    <row r="206" spans="1:9">
      <c r="A206" s="216"/>
      <c r="B206" s="218"/>
      <c r="C206" s="217"/>
      <c r="D206" s="216"/>
      <c r="E206" s="216"/>
      <c r="F206" s="858"/>
      <c r="G206" s="990"/>
      <c r="H206" s="216"/>
      <c r="I206" s="216"/>
    </row>
    <row r="207" spans="1:9">
      <c r="A207" s="216"/>
      <c r="B207" s="218"/>
      <c r="C207" s="217"/>
      <c r="D207" s="216"/>
      <c r="E207" s="216"/>
      <c r="F207" s="858"/>
      <c r="G207" s="990"/>
      <c r="H207" s="216"/>
      <c r="I207" s="216"/>
    </row>
    <row r="208" spans="1:9">
      <c r="A208" s="216"/>
      <c r="B208" s="218"/>
      <c r="C208" s="217"/>
      <c r="D208" s="216"/>
      <c r="E208" s="216"/>
      <c r="F208" s="858"/>
      <c r="G208" s="990"/>
      <c r="H208" s="216"/>
      <c r="I208" s="216"/>
    </row>
    <row r="209" spans="1:9">
      <c r="A209" s="216"/>
      <c r="B209" s="218"/>
      <c r="C209" s="217"/>
      <c r="D209" s="216"/>
      <c r="E209" s="216"/>
      <c r="F209" s="858"/>
      <c r="G209" s="990"/>
      <c r="H209" s="216"/>
      <c r="I209" s="216"/>
    </row>
    <row r="210" spans="1:9">
      <c r="A210" s="216"/>
      <c r="B210" s="218"/>
      <c r="C210" s="217"/>
      <c r="D210" s="216"/>
      <c r="E210" s="216"/>
      <c r="F210" s="858"/>
      <c r="G210" s="990"/>
      <c r="H210" s="216"/>
      <c r="I210" s="216"/>
    </row>
    <row r="211" spans="1:9">
      <c r="A211" s="216"/>
      <c r="B211" s="218"/>
      <c r="C211" s="217"/>
      <c r="D211" s="216"/>
      <c r="E211" s="216"/>
      <c r="F211" s="858"/>
      <c r="G211" s="990"/>
      <c r="H211" s="216"/>
      <c r="I211" s="216"/>
    </row>
    <row r="212" spans="1:9">
      <c r="A212" s="216"/>
      <c r="B212" s="218"/>
      <c r="C212" s="217"/>
      <c r="D212" s="216"/>
      <c r="E212" s="216"/>
      <c r="F212" s="858"/>
      <c r="G212" s="990"/>
      <c r="H212" s="216"/>
      <c r="I212" s="216"/>
    </row>
    <row r="213" spans="1:9">
      <c r="A213" s="216"/>
      <c r="B213" s="218"/>
      <c r="C213" s="217"/>
      <c r="D213" s="216"/>
      <c r="E213" s="216"/>
      <c r="F213" s="858"/>
      <c r="G213" s="990"/>
      <c r="H213" s="216"/>
      <c r="I213" s="216"/>
    </row>
    <row r="214" spans="1:9">
      <c r="A214" s="216"/>
      <c r="B214" s="218"/>
      <c r="C214" s="217"/>
      <c r="D214" s="216"/>
      <c r="E214" s="216"/>
      <c r="F214" s="858"/>
      <c r="G214" s="990"/>
      <c r="H214" s="216"/>
      <c r="I214" s="216"/>
    </row>
  </sheetData>
  <sheetProtection algorithmName="SHA-512" hashValue="NG/A2wmJsVRzF7nhUHoVB6vBfgdjEgxq3GDcZO55sYGWggW5k+QUMuEL9oBMx1Gsen5ndrHO3NKtkEVRfmG9Ew==" saltValue="RHm0BpFh80PiEpJdZOJkFA==" spinCount="100000" sheet="1" formatCells="0" formatColumns="0" formatRows="0"/>
  <pageMargins left="1.1023622047244095" right="0.51181102362204722" top="0.59055118110236227" bottom="0.39370078740157483" header="0.19685039370078741" footer="0.11811023622047245"/>
  <pageSetup paperSize="9" orientation="portrait" r:id="rId1"/>
  <headerFooter>
    <oddHeader>&amp;L&amp;"-,Običajno"&amp;8TEHNIČNO POROČILO TER POPIS DEL IN MATERIALA&amp;"Arial CE,Običajno"&amp;10
______________________________________________________________________________________
&amp;R&amp;"-,Običajno"&amp;8 19/&amp;P</oddHeader>
    <oddFooter xml:space="preserve">&amp;L
</oddFooter>
  </headerFooter>
  <rowBreaks count="1" manualBreakCount="1">
    <brk id="3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8"/>
  <sheetViews>
    <sheetView view="pageBreakPreview" topLeftCell="A43" zoomScaleNormal="100" zoomScaleSheetLayoutView="100" workbookViewId="0">
      <selection activeCell="F58" sqref="F58"/>
    </sheetView>
  </sheetViews>
  <sheetFormatPr defaultRowHeight="14.25"/>
  <cols>
    <col min="1" max="1" width="5.5" customWidth="1"/>
    <col min="2" max="4" width="8.375" customWidth="1"/>
    <col min="5" max="5" width="24.875" customWidth="1"/>
    <col min="6" max="6" width="27.875" style="883" customWidth="1"/>
    <col min="7" max="7" width="8.375" customWidth="1"/>
    <col min="8" max="8" width="11.25" customWidth="1"/>
    <col min="9" max="256" width="8.375" customWidth="1"/>
    <col min="257" max="1024" width="10.75" customWidth="1"/>
    <col min="1025" max="1025" width="9" customWidth="1"/>
  </cols>
  <sheetData>
    <row r="1" spans="1:8" ht="15">
      <c r="A1" s="1"/>
      <c r="C1" s="2"/>
      <c r="D1" s="3"/>
      <c r="E1" s="3"/>
      <c r="F1" s="880"/>
      <c r="G1" s="4"/>
      <c r="H1" s="4"/>
    </row>
    <row r="2" spans="1:8" ht="15.75">
      <c r="A2" s="1"/>
      <c r="B2" s="5"/>
      <c r="C2" s="6"/>
      <c r="D2" s="3"/>
      <c r="E2" s="3"/>
      <c r="F2" s="880"/>
      <c r="G2" s="4"/>
      <c r="H2" s="4"/>
    </row>
    <row r="3" spans="1:8" ht="15">
      <c r="A3" s="1"/>
      <c r="C3" s="2"/>
      <c r="D3" s="3"/>
      <c r="E3" s="3"/>
      <c r="F3" s="880"/>
      <c r="G3" s="4"/>
      <c r="H3" s="4"/>
    </row>
    <row r="4" spans="1:8" ht="15.75">
      <c r="A4" s="1"/>
      <c r="B4" s="5"/>
      <c r="C4" s="2"/>
      <c r="D4" s="3"/>
      <c r="E4" s="3"/>
      <c r="F4" s="880"/>
      <c r="G4" s="4"/>
      <c r="H4" s="4"/>
    </row>
    <row r="5" spans="1:8" ht="15">
      <c r="A5" s="1"/>
      <c r="C5" s="2"/>
      <c r="D5" s="3"/>
      <c r="E5" s="3"/>
      <c r="F5" s="880"/>
      <c r="G5" s="4"/>
      <c r="H5" s="4"/>
    </row>
    <row r="6" spans="1:8" ht="23.25">
      <c r="A6" s="7"/>
      <c r="B6" s="7" t="s">
        <v>0</v>
      </c>
      <c r="C6" s="2"/>
      <c r="D6" s="3"/>
      <c r="E6" s="3"/>
      <c r="F6" s="880"/>
      <c r="G6" s="4"/>
      <c r="H6" s="4"/>
    </row>
    <row r="7" spans="1:8" ht="23.25">
      <c r="A7" s="7"/>
      <c r="B7" s="7"/>
      <c r="C7" s="2"/>
      <c r="D7" s="3"/>
      <c r="E7" s="3"/>
      <c r="F7" s="880"/>
      <c r="G7" s="4"/>
      <c r="H7" s="4"/>
    </row>
    <row r="8" spans="1:8" ht="23.25">
      <c r="A8" s="7"/>
      <c r="B8" s="7"/>
      <c r="C8" s="2"/>
      <c r="D8" s="3"/>
      <c r="E8" s="3"/>
      <c r="F8" s="880"/>
      <c r="G8" s="4"/>
      <c r="H8" s="4"/>
    </row>
    <row r="9" spans="1:8" ht="23.25">
      <c r="A9" s="7"/>
      <c r="B9" s="7"/>
      <c r="C9" s="2"/>
      <c r="D9" s="3"/>
      <c r="E9" s="3"/>
      <c r="F9" s="880"/>
      <c r="G9" s="4"/>
      <c r="H9" s="4"/>
    </row>
    <row r="10" spans="1:8" ht="15">
      <c r="A10" s="1"/>
      <c r="C10" s="2"/>
      <c r="D10" s="3"/>
      <c r="E10" s="3"/>
      <c r="F10" s="880"/>
      <c r="G10" s="4"/>
      <c r="H10" s="4"/>
    </row>
    <row r="11" spans="1:8" ht="15">
      <c r="A11" s="1"/>
      <c r="C11" s="2"/>
      <c r="D11" s="3"/>
      <c r="E11" s="3"/>
      <c r="F11" s="880"/>
      <c r="G11" s="4"/>
      <c r="H11" s="4"/>
    </row>
    <row r="12" spans="1:8" ht="15">
      <c r="A12" s="1"/>
      <c r="C12" s="2"/>
      <c r="D12" s="3"/>
      <c r="E12" s="3"/>
      <c r="F12" s="880"/>
      <c r="G12" s="4"/>
      <c r="H12" s="4"/>
    </row>
    <row r="13" spans="1:8" ht="15">
      <c r="A13" s="1"/>
      <c r="C13" s="2"/>
      <c r="D13" s="3"/>
      <c r="E13" s="3"/>
      <c r="F13" s="880"/>
      <c r="G13" s="4"/>
      <c r="H13" s="4"/>
    </row>
    <row r="14" spans="1:8" s="11" customFormat="1" ht="18">
      <c r="A14" s="8" t="s">
        <v>1</v>
      </c>
      <c r="B14" s="8"/>
      <c r="C14" s="9" t="s">
        <v>149</v>
      </c>
      <c r="D14" s="9"/>
      <c r="E14" s="10"/>
      <c r="F14" s="881"/>
    </row>
    <row r="15" spans="1:8" s="11" customFormat="1" ht="18">
      <c r="A15" s="8"/>
      <c r="B15" s="8"/>
      <c r="C15" s="9"/>
      <c r="D15" s="9"/>
      <c r="E15" s="10"/>
      <c r="F15" s="881"/>
    </row>
    <row r="16" spans="1:8" s="11" customFormat="1" ht="18">
      <c r="A16" s="8"/>
      <c r="B16" s="8"/>
      <c r="C16" s="9"/>
      <c r="D16" s="9"/>
      <c r="E16" s="10"/>
      <c r="F16" s="881"/>
    </row>
    <row r="17" spans="1:8" s="11" customFormat="1" ht="18">
      <c r="A17" s="8"/>
      <c r="B17" s="8"/>
      <c r="C17" s="9"/>
      <c r="D17" s="9"/>
      <c r="E17" s="10"/>
      <c r="F17" s="881"/>
    </row>
    <row r="18" spans="1:8" s="11" customFormat="1" ht="18">
      <c r="A18" s="8"/>
      <c r="C18" s="9"/>
      <c r="D18" s="9"/>
      <c r="E18" s="10"/>
      <c r="F18" s="881"/>
    </row>
    <row r="19" spans="1:8" s="11" customFormat="1" ht="18">
      <c r="A19" s="8" t="s">
        <v>2</v>
      </c>
      <c r="C19" s="9" t="s">
        <v>150</v>
      </c>
      <c r="D19" s="9"/>
      <c r="E19" s="10"/>
      <c r="F19" s="881"/>
    </row>
    <row r="20" spans="1:8" s="11" customFormat="1" ht="18">
      <c r="A20" s="8"/>
      <c r="C20" s="9" t="s">
        <v>151</v>
      </c>
      <c r="D20" s="9"/>
      <c r="E20" s="10"/>
      <c r="F20" s="881"/>
    </row>
    <row r="21" spans="1:8" s="11" customFormat="1" ht="18">
      <c r="A21" s="8"/>
      <c r="C21" s="9" t="s">
        <v>152</v>
      </c>
      <c r="D21" s="9"/>
      <c r="E21" s="10"/>
      <c r="F21" s="881"/>
    </row>
    <row r="22" spans="1:8" s="11" customFormat="1" ht="18">
      <c r="A22" s="8"/>
      <c r="C22" s="9"/>
      <c r="D22" s="9"/>
      <c r="E22" s="10"/>
      <c r="F22" s="881"/>
    </row>
    <row r="23" spans="1:8" s="11" customFormat="1" ht="18">
      <c r="A23" s="8"/>
      <c r="C23" s="9"/>
      <c r="D23" s="9"/>
      <c r="E23" s="10"/>
      <c r="F23" s="881"/>
    </row>
    <row r="24" spans="1:8" ht="15">
      <c r="A24" s="1"/>
      <c r="C24" s="2"/>
      <c r="D24" s="3"/>
      <c r="E24" s="3"/>
      <c r="F24" s="880"/>
      <c r="G24" s="4"/>
      <c r="H24" s="4"/>
    </row>
    <row r="25" spans="1:8" ht="15.75">
      <c r="A25" s="5"/>
      <c r="C25" s="12"/>
      <c r="D25" s="3"/>
      <c r="E25" s="3"/>
      <c r="F25" s="880"/>
      <c r="G25" s="4"/>
      <c r="H25" s="4"/>
    </row>
    <row r="26" spans="1:8" ht="18">
      <c r="A26" s="13" t="s">
        <v>3</v>
      </c>
      <c r="B26" s="8"/>
      <c r="C26" s="9" t="s">
        <v>4</v>
      </c>
      <c r="D26" s="3"/>
      <c r="E26" s="3"/>
      <c r="F26" s="880"/>
      <c r="G26" s="4"/>
      <c r="H26" s="4"/>
    </row>
    <row r="27" spans="1:8" ht="18">
      <c r="A27" s="1"/>
      <c r="B27" s="14"/>
      <c r="C27" s="9"/>
      <c r="D27" s="3"/>
      <c r="E27" s="3"/>
      <c r="F27" s="880"/>
      <c r="G27" s="4"/>
      <c r="H27" s="4"/>
    </row>
    <row r="28" spans="1:8" ht="15">
      <c r="A28" s="1"/>
      <c r="C28" s="2"/>
      <c r="D28" s="3"/>
      <c r="E28" s="3"/>
      <c r="F28" s="880"/>
      <c r="G28" s="4"/>
      <c r="H28" s="4"/>
    </row>
    <row r="29" spans="1:8" ht="15">
      <c r="A29" s="1"/>
      <c r="C29" s="15"/>
      <c r="D29" s="3"/>
      <c r="E29" s="3"/>
      <c r="F29" s="880"/>
      <c r="G29" s="4"/>
      <c r="H29" s="4"/>
    </row>
    <row r="30" spans="1:8" ht="15">
      <c r="A30" s="1"/>
      <c r="C30" s="2"/>
      <c r="D30" s="3"/>
      <c r="E30" s="3"/>
      <c r="F30" s="880"/>
      <c r="G30" s="4"/>
      <c r="H30" s="4"/>
    </row>
    <row r="31" spans="1:8" ht="15">
      <c r="A31" s="1"/>
      <c r="C31" s="2"/>
      <c r="D31" s="3"/>
      <c r="E31" s="3"/>
      <c r="F31" s="880"/>
      <c r="G31" s="4"/>
      <c r="H31" s="4"/>
    </row>
    <row r="32" spans="1:8" ht="15">
      <c r="A32" s="1"/>
      <c r="C32" s="15"/>
      <c r="D32" s="3"/>
      <c r="E32" s="3"/>
      <c r="F32" s="880"/>
      <c r="G32" s="4"/>
      <c r="H32" s="4"/>
    </row>
    <row r="33" spans="1:8" ht="15">
      <c r="A33" s="1"/>
      <c r="C33" s="2"/>
      <c r="D33" s="3"/>
      <c r="E33" s="3"/>
      <c r="F33" s="880"/>
      <c r="G33" s="4"/>
      <c r="H33" s="4"/>
    </row>
    <row r="34" spans="1:8" ht="15">
      <c r="A34" s="1"/>
      <c r="C34" s="2"/>
      <c r="D34" s="3"/>
      <c r="E34" s="3"/>
      <c r="F34" s="880"/>
      <c r="G34" s="4"/>
      <c r="H34" s="4"/>
    </row>
    <row r="35" spans="1:8" ht="15">
      <c r="A35" s="1"/>
      <c r="C35" s="2"/>
      <c r="D35" s="3"/>
      <c r="E35" s="3"/>
      <c r="F35" s="880"/>
      <c r="G35" s="4"/>
      <c r="H35" s="4"/>
    </row>
    <row r="36" spans="1:8" ht="15.75">
      <c r="A36" s="1"/>
      <c r="B36" s="14"/>
      <c r="C36" s="16"/>
      <c r="D36" s="3"/>
      <c r="E36" s="3"/>
      <c r="F36" s="880"/>
      <c r="G36" s="4"/>
      <c r="H36" s="4"/>
    </row>
    <row r="37" spans="1:8" ht="15">
      <c r="A37" s="1"/>
      <c r="C37" s="2"/>
      <c r="D37" s="3"/>
      <c r="E37" s="3"/>
      <c r="F37" s="880"/>
      <c r="G37" s="4"/>
      <c r="H37" s="4"/>
    </row>
    <row r="38" spans="1:8" ht="15">
      <c r="A38" s="1"/>
      <c r="C38" s="15"/>
      <c r="D38" s="3"/>
      <c r="E38" s="3"/>
      <c r="F38" s="880"/>
      <c r="G38" s="4"/>
      <c r="H38" s="4"/>
    </row>
    <row r="39" spans="1:8" ht="15">
      <c r="A39" s="1"/>
      <c r="C39" s="2"/>
      <c r="D39" s="3"/>
      <c r="E39" s="3"/>
      <c r="F39" s="880"/>
      <c r="G39" s="4"/>
      <c r="H39" s="4"/>
    </row>
    <row r="40" spans="1:8" ht="15">
      <c r="A40" s="4"/>
      <c r="C40" s="2"/>
      <c r="D40" s="3"/>
      <c r="E40" s="3"/>
      <c r="F40" s="888" t="s">
        <v>5</v>
      </c>
      <c r="G40" s="4"/>
      <c r="H40" s="4"/>
    </row>
    <row r="41" spans="1:8" ht="15">
      <c r="A41" s="1"/>
      <c r="C41" s="2"/>
      <c r="D41" s="3"/>
      <c r="E41" s="3"/>
      <c r="F41" s="880"/>
      <c r="G41" s="4"/>
      <c r="H41" s="4"/>
    </row>
    <row r="42" spans="1:8" ht="15">
      <c r="A42" t="s">
        <v>153</v>
      </c>
      <c r="C42" s="2"/>
      <c r="D42" s="3"/>
      <c r="E42" s="3"/>
      <c r="F42" s="889" t="s">
        <v>6</v>
      </c>
      <c r="G42" s="4"/>
      <c r="H42" s="4"/>
    </row>
    <row r="43" spans="1:8" ht="20.25">
      <c r="A43" s="17"/>
      <c r="B43" s="18" t="s">
        <v>1114</v>
      </c>
      <c r="C43" s="19"/>
      <c r="D43" s="20"/>
      <c r="E43" s="20"/>
      <c r="F43" s="890"/>
    </row>
    <row r="44" spans="1:8" ht="20.25">
      <c r="A44" s="17"/>
      <c r="B44" s="18"/>
      <c r="C44" s="19"/>
      <c r="D44" s="20"/>
      <c r="E44" s="20"/>
      <c r="F44" s="890"/>
    </row>
    <row r="45" spans="1:8" ht="15.75">
      <c r="A45" s="21"/>
      <c r="B45" s="5"/>
      <c r="C45" s="6"/>
      <c r="D45" s="22"/>
      <c r="E45" s="22"/>
      <c r="F45" s="884"/>
    </row>
    <row r="46" spans="1:8" ht="15.75">
      <c r="A46" s="21" t="s">
        <v>7</v>
      </c>
      <c r="B46" s="5" t="s">
        <v>8</v>
      </c>
      <c r="C46" s="19"/>
      <c r="D46" s="20"/>
      <c r="E46" s="20"/>
      <c r="F46" s="890"/>
    </row>
    <row r="47" spans="1:8" ht="15.75">
      <c r="A47" s="21"/>
      <c r="B47" s="5"/>
      <c r="C47" s="19"/>
      <c r="D47" s="20"/>
      <c r="E47" s="20"/>
      <c r="F47" s="890"/>
    </row>
    <row r="48" spans="1:8" ht="15.75">
      <c r="A48" s="21" t="s">
        <v>9</v>
      </c>
      <c r="B48" s="5" t="s">
        <v>10</v>
      </c>
      <c r="C48" s="19"/>
      <c r="D48" s="20"/>
      <c r="E48" s="20"/>
      <c r="F48" s="884">
        <f>+ARHITEKTURA_gradbena_dela!F14</f>
        <v>0</v>
      </c>
    </row>
    <row r="49" spans="1:6" ht="15.75">
      <c r="A49" s="21" t="s">
        <v>11</v>
      </c>
      <c r="B49" s="5" t="s">
        <v>12</v>
      </c>
      <c r="C49" s="19"/>
      <c r="D49" s="20"/>
      <c r="E49" s="20"/>
      <c r="F49" s="884">
        <f>+ARHITEKTURA_gradbena_dela!F27</f>
        <v>0</v>
      </c>
    </row>
    <row r="50" spans="1:6" ht="15.75">
      <c r="A50" s="21" t="s">
        <v>13</v>
      </c>
      <c r="B50" s="5" t="s">
        <v>14</v>
      </c>
      <c r="C50" s="19"/>
      <c r="D50" s="20"/>
      <c r="E50" s="20"/>
      <c r="F50" s="884">
        <f>+ARHITEKTURA_gradbena_dela!F44</f>
        <v>0</v>
      </c>
    </row>
    <row r="51" spans="1:6" ht="15.75">
      <c r="A51" s="21" t="s">
        <v>15</v>
      </c>
      <c r="B51" s="5" t="s">
        <v>16</v>
      </c>
      <c r="C51" s="19"/>
      <c r="D51" s="20"/>
      <c r="E51" s="20"/>
      <c r="F51" s="884">
        <f>+ARHITEKTURA_gradbena_dela!F67</f>
        <v>0</v>
      </c>
    </row>
    <row r="52" spans="1:6" ht="15.75">
      <c r="A52" s="21" t="s">
        <v>17</v>
      </c>
      <c r="B52" s="5" t="s">
        <v>18</v>
      </c>
      <c r="C52" s="19"/>
      <c r="D52" s="20"/>
      <c r="E52" s="20"/>
      <c r="F52" s="884">
        <f>+ARHITEKTURA_gradbena_dela!F96</f>
        <v>0</v>
      </c>
    </row>
    <row r="53" spans="1:6" ht="15.75">
      <c r="A53" s="21"/>
      <c r="B53" s="5"/>
      <c r="C53" s="19"/>
      <c r="D53" s="20"/>
      <c r="E53" s="20"/>
      <c r="F53" s="884"/>
    </row>
    <row r="54" spans="1:6" ht="15.75">
      <c r="A54" s="21"/>
      <c r="B54" s="23" t="s">
        <v>21</v>
      </c>
      <c r="C54" s="24"/>
      <c r="D54" s="25"/>
      <c r="E54" s="25"/>
      <c r="F54" s="891">
        <f>SUM(F48:F53)</f>
        <v>0</v>
      </c>
    </row>
    <row r="55" spans="1:6" ht="15.75">
      <c r="A55" s="17"/>
      <c r="B55" s="5"/>
      <c r="C55" s="19"/>
      <c r="D55" s="20"/>
      <c r="E55" s="20"/>
      <c r="F55" s="890"/>
    </row>
    <row r="56" spans="1:6" ht="15.75">
      <c r="A56" s="21" t="s">
        <v>22</v>
      </c>
      <c r="B56" s="5" t="s">
        <v>23</v>
      </c>
      <c r="C56" s="19"/>
      <c r="D56" s="20"/>
      <c r="E56" s="20"/>
      <c r="F56" s="890"/>
    </row>
    <row r="57" spans="1:6" ht="15.75">
      <c r="A57" s="21"/>
      <c r="B57" s="5"/>
      <c r="C57" s="19"/>
      <c r="D57" s="20"/>
      <c r="E57" s="20"/>
      <c r="F57" s="890"/>
    </row>
    <row r="58" spans="1:6" ht="15.75">
      <c r="A58" s="21" t="s">
        <v>9</v>
      </c>
      <c r="B58" s="5" t="s">
        <v>185</v>
      </c>
      <c r="C58" s="19"/>
      <c r="D58" s="20"/>
      <c r="E58" s="20"/>
      <c r="F58" s="884">
        <f>+ARHITEKTURA_obrtniška_dela!F25</f>
        <v>0</v>
      </c>
    </row>
    <row r="59" spans="1:6" ht="15.75">
      <c r="A59" s="21" t="s">
        <v>11</v>
      </c>
      <c r="B59" s="5" t="s">
        <v>24</v>
      </c>
      <c r="C59" s="19"/>
      <c r="D59" s="20"/>
      <c r="E59" s="20"/>
      <c r="F59" s="884">
        <f>+ARHITEKTURA_obrtniška_dela!F48</f>
        <v>0</v>
      </c>
    </row>
    <row r="60" spans="1:6" ht="15.75">
      <c r="A60" s="21" t="s">
        <v>13</v>
      </c>
      <c r="B60" s="5" t="s">
        <v>142</v>
      </c>
      <c r="C60" s="19"/>
      <c r="D60" s="20"/>
      <c r="E60" s="20"/>
      <c r="F60" s="884">
        <f>+ARHITEKTURA_obrtniška_dela!F57</f>
        <v>0</v>
      </c>
    </row>
    <row r="61" spans="1:6" ht="15.75">
      <c r="A61" s="21" t="s">
        <v>15</v>
      </c>
      <c r="B61" s="5" t="s">
        <v>25</v>
      </c>
      <c r="C61" s="19"/>
      <c r="D61" s="20"/>
      <c r="E61" s="20"/>
      <c r="F61" s="884">
        <f>+ARHITEKTURA_obrtniška_dela!F68</f>
        <v>0</v>
      </c>
    </row>
    <row r="62" spans="1:6" ht="15.75">
      <c r="A62" s="21" t="s">
        <v>17</v>
      </c>
      <c r="B62" s="5" t="s">
        <v>26</v>
      </c>
      <c r="C62" s="19"/>
      <c r="D62" s="20"/>
      <c r="E62" s="20"/>
      <c r="F62" s="884">
        <f>+ARHITEKTURA_obrtniška_dela!F73</f>
        <v>0</v>
      </c>
    </row>
    <row r="63" spans="1:6" ht="15.75">
      <c r="A63" s="21" t="s">
        <v>17</v>
      </c>
      <c r="B63" s="5" t="s">
        <v>27</v>
      </c>
      <c r="C63" s="19"/>
      <c r="D63" s="20"/>
      <c r="E63" s="20"/>
      <c r="F63" s="884">
        <f>+ARHITEKTURA_obrtniška_dela!F81</f>
        <v>0</v>
      </c>
    </row>
    <row r="64" spans="1:6" ht="15.75">
      <c r="A64" s="21" t="s">
        <v>19</v>
      </c>
      <c r="B64" s="5" t="s">
        <v>225</v>
      </c>
      <c r="C64" s="19"/>
      <c r="D64" s="20"/>
      <c r="E64" s="20"/>
      <c r="F64" s="884">
        <f>+ARHITEKTURA_obrtniška_dela!F96</f>
        <v>0</v>
      </c>
    </row>
    <row r="65" spans="1:8" ht="15.75">
      <c r="A65" s="21"/>
      <c r="B65" s="5"/>
      <c r="C65" s="19"/>
      <c r="D65" s="20"/>
      <c r="E65" s="20"/>
      <c r="F65" s="884"/>
    </row>
    <row r="66" spans="1:8" ht="15.75">
      <c r="A66" s="21"/>
      <c r="B66" s="23" t="s">
        <v>28</v>
      </c>
      <c r="C66" s="27"/>
      <c r="D66" s="26"/>
      <c r="E66" s="26"/>
      <c r="F66" s="891">
        <f>SUM(F58:F64)</f>
        <v>0</v>
      </c>
    </row>
    <row r="67" spans="1:8" ht="15.75">
      <c r="A67" s="21"/>
      <c r="B67" s="5"/>
      <c r="C67" s="6"/>
      <c r="D67" s="22"/>
      <c r="E67" s="22"/>
      <c r="F67" s="884"/>
    </row>
    <row r="68" spans="1:8" s="32" customFormat="1" ht="16.5" thickBot="1">
      <c r="A68" s="28"/>
      <c r="B68" s="29" t="s">
        <v>29</v>
      </c>
      <c r="C68" s="30"/>
      <c r="D68" s="31"/>
      <c r="E68" s="31"/>
      <c r="F68" s="892">
        <f>+F66+F54</f>
        <v>0</v>
      </c>
    </row>
    <row r="69" spans="1:8" ht="16.5" thickTop="1">
      <c r="A69" s="21"/>
      <c r="B69" s="5"/>
      <c r="C69" s="6"/>
      <c r="D69" s="22"/>
      <c r="E69" s="22"/>
      <c r="F69" s="884"/>
    </row>
    <row r="70" spans="1:8" ht="15.75">
      <c r="A70" s="21"/>
      <c r="B70" s="5" t="s">
        <v>235</v>
      </c>
      <c r="C70" s="6"/>
      <c r="D70" s="22"/>
      <c r="E70" s="22"/>
      <c r="F70" s="884">
        <f>+F68*0.22</f>
        <v>0</v>
      </c>
    </row>
    <row r="71" spans="1:8" ht="15.75">
      <c r="A71" s="21"/>
      <c r="B71" s="5"/>
      <c r="C71" s="6"/>
      <c r="D71" s="22"/>
      <c r="E71" s="22"/>
      <c r="F71" s="884"/>
    </row>
    <row r="72" spans="1:8" ht="15.75">
      <c r="A72" s="21"/>
      <c r="B72" s="23" t="s">
        <v>30</v>
      </c>
      <c r="C72" s="27"/>
      <c r="D72" s="26"/>
      <c r="E72" s="25"/>
      <c r="F72" s="891">
        <f>+F68+F70</f>
        <v>0</v>
      </c>
      <c r="H72" s="3"/>
    </row>
    <row r="73" spans="1:8" ht="15">
      <c r="A73" s="4"/>
      <c r="B73" s="4"/>
      <c r="C73" s="4"/>
      <c r="D73" s="4"/>
      <c r="E73" s="4"/>
      <c r="F73" s="890"/>
    </row>
    <row r="75" spans="1:8">
      <c r="A75" s="88"/>
      <c r="B75" s="33" t="s">
        <v>31</v>
      </c>
      <c r="C75" s="33"/>
      <c r="D75" s="33"/>
      <c r="E75" s="33"/>
      <c r="F75" s="893"/>
    </row>
    <row r="76" spans="1:8">
      <c r="A76" s="88"/>
      <c r="B76" s="33" t="s">
        <v>32</v>
      </c>
      <c r="C76" s="33"/>
      <c r="D76" s="33"/>
      <c r="E76" s="33"/>
      <c r="F76" s="893"/>
    </row>
    <row r="77" spans="1:8">
      <c r="A77" s="88"/>
      <c r="B77" s="88"/>
      <c r="C77" s="88"/>
      <c r="D77" s="88"/>
      <c r="E77" s="88"/>
      <c r="F77" s="882"/>
    </row>
    <row r="78" spans="1:8">
      <c r="A78" s="88" t="s">
        <v>33</v>
      </c>
      <c r="B78" s="88" t="s">
        <v>34</v>
      </c>
      <c r="C78" s="88"/>
      <c r="D78" s="88"/>
      <c r="E78" s="88"/>
      <c r="F78" s="882"/>
    </row>
    <row r="79" spans="1:8">
      <c r="A79" s="88" t="s">
        <v>33</v>
      </c>
      <c r="B79" s="33" t="s">
        <v>35</v>
      </c>
      <c r="C79" s="33"/>
      <c r="D79" s="33"/>
      <c r="E79" s="33"/>
      <c r="F79" s="893"/>
    </row>
    <row r="80" spans="1:8">
      <c r="A80" s="88"/>
      <c r="B80" s="33" t="s">
        <v>36</v>
      </c>
      <c r="C80" s="33"/>
      <c r="D80" s="33"/>
      <c r="E80" s="33"/>
      <c r="F80" s="893"/>
    </row>
    <row r="81" spans="1:6">
      <c r="A81" s="88" t="s">
        <v>33</v>
      </c>
      <c r="B81" s="33" t="s">
        <v>37</v>
      </c>
      <c r="C81" s="89"/>
      <c r="D81" s="89"/>
      <c r="E81" s="89"/>
      <c r="F81" s="894"/>
    </row>
    <row r="82" spans="1:6">
      <c r="A82" s="88"/>
      <c r="B82" s="33" t="s">
        <v>38</v>
      </c>
      <c r="C82" s="89"/>
      <c r="D82" s="89"/>
      <c r="E82" s="89"/>
      <c r="F82" s="894"/>
    </row>
    <row r="83" spans="1:6">
      <c r="A83" s="88" t="s">
        <v>33</v>
      </c>
      <c r="B83" s="88" t="s">
        <v>39</v>
      </c>
      <c r="C83" s="88"/>
      <c r="D83" s="88"/>
      <c r="E83" s="88"/>
      <c r="F83" s="882"/>
    </row>
    <row r="84" spans="1:6">
      <c r="A84" s="88" t="s">
        <v>33</v>
      </c>
      <c r="B84" s="88" t="s">
        <v>40</v>
      </c>
      <c r="C84" s="88"/>
      <c r="D84" s="88"/>
      <c r="E84" s="88"/>
      <c r="F84" s="882"/>
    </row>
    <row r="85" spans="1:6">
      <c r="A85" s="88" t="s">
        <v>33</v>
      </c>
      <c r="B85" s="33" t="s">
        <v>41</v>
      </c>
      <c r="C85" s="33"/>
      <c r="D85" s="33"/>
      <c r="E85" s="33"/>
      <c r="F85" s="893"/>
    </row>
    <row r="86" spans="1:6">
      <c r="A86" s="88"/>
      <c r="B86" s="33" t="s">
        <v>42</v>
      </c>
      <c r="C86" s="33"/>
      <c r="D86" s="33"/>
      <c r="E86" s="33"/>
      <c r="F86" s="893"/>
    </row>
    <row r="87" spans="1:6">
      <c r="A87" s="88"/>
      <c r="B87" s="33" t="s">
        <v>43</v>
      </c>
      <c r="C87" s="33"/>
      <c r="D87" s="33"/>
      <c r="E87" s="33"/>
      <c r="F87" s="893"/>
    </row>
    <row r="88" spans="1:6">
      <c r="A88" s="88"/>
      <c r="B88" s="33" t="s">
        <v>44</v>
      </c>
      <c r="C88" s="33"/>
      <c r="D88" s="33"/>
      <c r="E88" s="33"/>
      <c r="F88" s="893"/>
    </row>
    <row r="89" spans="1:6">
      <c r="A89" s="88" t="s">
        <v>33</v>
      </c>
      <c r="B89" s="33" t="s">
        <v>45</v>
      </c>
      <c r="C89" s="33"/>
      <c r="D89" s="33"/>
      <c r="E89" s="33"/>
      <c r="F89" s="893"/>
    </row>
    <row r="90" spans="1:6">
      <c r="A90" s="88"/>
      <c r="B90" s="33" t="s">
        <v>46</v>
      </c>
      <c r="C90" s="33"/>
      <c r="D90" s="33"/>
      <c r="E90" s="33"/>
      <c r="F90" s="893"/>
    </row>
    <row r="91" spans="1:6">
      <c r="A91" s="88" t="s">
        <v>33</v>
      </c>
      <c r="B91" s="33" t="s">
        <v>47</v>
      </c>
      <c r="C91" s="33"/>
      <c r="D91" s="33"/>
      <c r="E91" s="33"/>
      <c r="F91" s="893"/>
    </row>
    <row r="92" spans="1:6">
      <c r="A92" s="88"/>
      <c r="B92" s="33" t="s">
        <v>48</v>
      </c>
      <c r="C92" s="33"/>
      <c r="D92" s="33"/>
      <c r="E92" s="33"/>
      <c r="F92" s="893"/>
    </row>
    <row r="93" spans="1:6">
      <c r="A93" s="88" t="s">
        <v>33</v>
      </c>
      <c r="B93" s="33" t="s">
        <v>49</v>
      </c>
      <c r="C93" s="33"/>
      <c r="D93" s="33"/>
      <c r="E93" s="33"/>
      <c r="F93" s="893"/>
    </row>
    <row r="94" spans="1:6">
      <c r="A94" s="88"/>
      <c r="B94" s="33" t="s">
        <v>50</v>
      </c>
      <c r="C94" s="33"/>
      <c r="D94" s="33"/>
      <c r="E94" s="33"/>
      <c r="F94" s="893"/>
    </row>
    <row r="95" spans="1:6">
      <c r="A95" s="88" t="s">
        <v>33</v>
      </c>
      <c r="B95" s="88" t="s">
        <v>51</v>
      </c>
      <c r="C95" s="88"/>
      <c r="D95" s="88"/>
      <c r="E95" s="88"/>
      <c r="F95" s="882"/>
    </row>
    <row r="96" spans="1:6">
      <c r="A96" s="88" t="s">
        <v>33</v>
      </c>
      <c r="B96" s="88" t="s">
        <v>52</v>
      </c>
      <c r="C96" s="88"/>
      <c r="D96" s="88"/>
      <c r="E96" s="88"/>
      <c r="F96" s="882"/>
    </row>
    <row r="97" spans="1:6">
      <c r="A97" s="88"/>
      <c r="B97" s="88" t="s">
        <v>53</v>
      </c>
      <c r="C97" s="88"/>
      <c r="D97" s="88"/>
      <c r="E97" s="88"/>
      <c r="F97" s="882"/>
    </row>
    <row r="98" spans="1:6">
      <c r="A98" s="88" t="s">
        <v>33</v>
      </c>
      <c r="B98" s="88" t="s">
        <v>54</v>
      </c>
      <c r="C98" s="88"/>
      <c r="D98" s="88"/>
      <c r="E98" s="88"/>
      <c r="F98" s="882"/>
    </row>
    <row r="99" spans="1:6">
      <c r="A99" s="88" t="s">
        <v>33</v>
      </c>
      <c r="B99" s="33" t="s">
        <v>55</v>
      </c>
      <c r="C99" s="33"/>
      <c r="D99" s="33"/>
      <c r="E99" s="33"/>
      <c r="F99" s="893"/>
    </row>
    <row r="100" spans="1:6">
      <c r="A100" s="88"/>
      <c r="B100" s="33" t="s">
        <v>56</v>
      </c>
      <c r="C100" s="33"/>
      <c r="D100" s="33"/>
      <c r="E100" s="33"/>
      <c r="F100" s="893"/>
    </row>
    <row r="101" spans="1:6">
      <c r="A101" s="88"/>
      <c r="B101" s="33" t="s">
        <v>57</v>
      </c>
      <c r="C101" s="33"/>
      <c r="D101" s="33"/>
      <c r="E101" s="33"/>
      <c r="F101" s="893"/>
    </row>
    <row r="102" spans="1:6">
      <c r="A102" s="88" t="s">
        <v>33</v>
      </c>
      <c r="B102" s="33" t="s">
        <v>58</v>
      </c>
      <c r="C102" s="33"/>
      <c r="D102" s="33"/>
      <c r="E102" s="33"/>
      <c r="F102" s="893"/>
    </row>
    <row r="103" spans="1:6">
      <c r="A103" s="88"/>
      <c r="B103" s="33" t="s">
        <v>59</v>
      </c>
      <c r="C103" s="33"/>
      <c r="D103" s="33"/>
      <c r="E103" s="33"/>
      <c r="F103" s="893"/>
    </row>
    <row r="104" spans="1:6">
      <c r="A104" s="88" t="s">
        <v>33</v>
      </c>
      <c r="B104" s="88" t="s">
        <v>60</v>
      </c>
      <c r="C104" s="88"/>
      <c r="D104" s="88"/>
      <c r="E104" s="88"/>
      <c r="F104" s="882"/>
    </row>
    <row r="105" spans="1:6">
      <c r="A105" s="88" t="s">
        <v>33</v>
      </c>
      <c r="B105" s="88" t="s">
        <v>61</v>
      </c>
      <c r="C105" s="88"/>
      <c r="D105" s="88"/>
      <c r="E105" s="88"/>
      <c r="F105" s="882"/>
    </row>
    <row r="106" spans="1:6">
      <c r="A106" s="88" t="s">
        <v>33</v>
      </c>
      <c r="B106" s="33" t="s">
        <v>62</v>
      </c>
      <c r="C106" s="33"/>
      <c r="D106" s="33"/>
      <c r="E106" s="33"/>
      <c r="F106" s="893"/>
    </row>
    <row r="107" spans="1:6">
      <c r="A107" s="88"/>
      <c r="B107" s="33" t="s">
        <v>63</v>
      </c>
      <c r="C107" s="33"/>
      <c r="D107" s="33"/>
      <c r="E107" s="33"/>
      <c r="F107" s="893"/>
    </row>
    <row r="108" spans="1:6">
      <c r="A108" s="88" t="s">
        <v>33</v>
      </c>
      <c r="B108" s="33" t="s">
        <v>64</v>
      </c>
      <c r="C108" s="33"/>
      <c r="D108" s="33"/>
      <c r="E108" s="33"/>
      <c r="F108" s="893"/>
    </row>
    <row r="109" spans="1:6">
      <c r="A109" s="88"/>
      <c r="B109" s="33" t="s">
        <v>65</v>
      </c>
      <c r="C109" s="33"/>
      <c r="D109" s="33"/>
      <c r="E109" s="33"/>
      <c r="F109" s="893"/>
    </row>
    <row r="110" spans="1:6">
      <c r="A110" s="88" t="s">
        <v>33</v>
      </c>
      <c r="B110" s="88" t="s">
        <v>66</v>
      </c>
      <c r="C110" s="88"/>
      <c r="D110" s="88"/>
      <c r="E110" s="88"/>
      <c r="F110" s="882"/>
    </row>
    <row r="111" spans="1:6">
      <c r="A111" s="88"/>
      <c r="B111" s="88" t="s">
        <v>67</v>
      </c>
      <c r="C111" s="88"/>
      <c r="D111" s="88"/>
      <c r="E111" s="88"/>
      <c r="F111" s="882"/>
    </row>
    <row r="112" spans="1:6">
      <c r="A112" s="88" t="s">
        <v>33</v>
      </c>
      <c r="B112" s="33" t="s">
        <v>68</v>
      </c>
      <c r="C112" s="33"/>
      <c r="D112" s="33"/>
      <c r="E112" s="33"/>
      <c r="F112" s="893"/>
    </row>
    <row r="113" spans="1:6">
      <c r="A113" s="88"/>
      <c r="B113" s="33" t="s">
        <v>69</v>
      </c>
      <c r="C113" s="33"/>
      <c r="D113" s="33"/>
      <c r="E113" s="33"/>
      <c r="F113" s="893"/>
    </row>
    <row r="114" spans="1:6">
      <c r="A114" s="88"/>
      <c r="B114" s="33" t="s">
        <v>70</v>
      </c>
      <c r="C114" s="33"/>
      <c r="D114" s="33"/>
      <c r="E114" s="33"/>
      <c r="F114" s="893"/>
    </row>
    <row r="115" spans="1:6">
      <c r="A115" s="88" t="s">
        <v>33</v>
      </c>
      <c r="B115" s="33" t="s">
        <v>71</v>
      </c>
      <c r="C115" s="89"/>
      <c r="D115" s="89"/>
      <c r="E115" s="89"/>
      <c r="F115" s="894"/>
    </row>
    <row r="116" spans="1:6">
      <c r="A116" s="88"/>
      <c r="B116" s="33" t="s">
        <v>72</v>
      </c>
      <c r="C116" s="89"/>
      <c r="D116" s="89"/>
      <c r="E116" s="89"/>
      <c r="F116" s="894"/>
    </row>
    <row r="117" spans="1:6">
      <c r="A117" s="88"/>
      <c r="B117" s="33" t="s">
        <v>73</v>
      </c>
      <c r="C117" s="89"/>
      <c r="D117" s="89"/>
      <c r="E117" s="89"/>
      <c r="F117" s="894"/>
    </row>
    <row r="118" spans="1:6">
      <c r="A118" s="88" t="s">
        <v>33</v>
      </c>
      <c r="B118" s="33" t="s">
        <v>74</v>
      </c>
      <c r="C118" s="33"/>
      <c r="D118" s="33"/>
      <c r="E118" s="33"/>
      <c r="F118" s="893"/>
    </row>
    <row r="119" spans="1:6">
      <c r="A119" s="88"/>
      <c r="B119" s="33" t="s">
        <v>75</v>
      </c>
      <c r="C119" s="33"/>
      <c r="D119" s="33"/>
      <c r="E119" s="33"/>
      <c r="F119" s="893"/>
    </row>
    <row r="120" spans="1:6">
      <c r="A120" s="88" t="s">
        <v>33</v>
      </c>
      <c r="B120" s="33" t="s">
        <v>76</v>
      </c>
      <c r="C120" s="33"/>
      <c r="D120" s="33"/>
      <c r="E120" s="33"/>
      <c r="F120" s="893"/>
    </row>
    <row r="121" spans="1:6">
      <c r="A121" s="88"/>
      <c r="B121" s="33" t="s">
        <v>77</v>
      </c>
      <c r="C121" s="33"/>
      <c r="D121" s="33"/>
      <c r="E121" s="33"/>
      <c r="F121" s="893"/>
    </row>
    <row r="122" spans="1:6">
      <c r="A122" s="88"/>
      <c r="B122" s="33" t="s">
        <v>78</v>
      </c>
      <c r="C122" s="33"/>
      <c r="D122" s="33"/>
      <c r="E122" s="33"/>
      <c r="F122" s="893"/>
    </row>
    <row r="123" spans="1:6">
      <c r="A123" s="88"/>
      <c r="B123" s="33" t="s">
        <v>79</v>
      </c>
      <c r="C123" s="33"/>
      <c r="D123" s="33"/>
      <c r="E123" s="33"/>
      <c r="F123" s="893"/>
    </row>
    <row r="124" spans="1:6">
      <c r="A124" s="88" t="s">
        <v>33</v>
      </c>
      <c r="B124" s="33" t="s">
        <v>80</v>
      </c>
      <c r="C124" s="33"/>
      <c r="D124" s="33"/>
      <c r="E124" s="33"/>
      <c r="F124" s="893"/>
    </row>
    <row r="125" spans="1:6">
      <c r="A125" s="88"/>
      <c r="B125" s="33" t="s">
        <v>81</v>
      </c>
      <c r="C125" s="33"/>
      <c r="D125" s="33"/>
      <c r="E125" s="33"/>
      <c r="F125" s="893"/>
    </row>
    <row r="126" spans="1:6">
      <c r="A126" s="88" t="s">
        <v>33</v>
      </c>
      <c r="B126" s="88" t="s">
        <v>82</v>
      </c>
      <c r="C126" s="88"/>
      <c r="D126" s="88"/>
      <c r="E126" s="88"/>
      <c r="F126" s="882"/>
    </row>
    <row r="127" spans="1:6">
      <c r="A127" s="88"/>
      <c r="B127" s="88" t="s">
        <v>83</v>
      </c>
      <c r="C127" s="88"/>
      <c r="D127" s="88"/>
      <c r="E127" s="88"/>
      <c r="F127" s="882"/>
    </row>
    <row r="128" spans="1:6">
      <c r="A128" s="88"/>
      <c r="B128" s="88" t="s">
        <v>84</v>
      </c>
      <c r="C128" s="88"/>
      <c r="D128" s="88"/>
      <c r="E128" s="88"/>
      <c r="F128" s="882"/>
    </row>
  </sheetData>
  <sheetProtection algorithmName="SHA-512" hashValue="/jw+Uq7btQcTxcpWoMCEBRa2L5rVuR0sIYsTHqN7Qoq2HL1AOtvC8AceDp7EfIFnNmkVYMFfiB6NxA8d/SzKCg==" saltValue="/TOomTgiw4OlEaio6SJ4oA==" spinCount="100000" sheet="1" objects="1" scenarios="1" formatCells="0" formatColumns="0" formatRows="0"/>
  <pageMargins left="0.7" right="0.7" top="0.75" bottom="0.75" header="0.3" footer="0.3"/>
  <pageSetup paperSize="9" scale="96" fitToHeight="0" pageOrder="overThenDown" orientation="portrait" r:id="rId1"/>
  <headerFooter alignWithMargins="0">
    <oddFooter>&amp;C&amp;10Stran &amp;P od &amp;N</oddFooter>
  </headerFooter>
  <rowBreaks count="2" manualBreakCount="2">
    <brk id="42" man="1"/>
    <brk id="74" man="1"/>
  </rowBreaks>
  <colBreaks count="1" manualBreakCount="1">
    <brk id="6"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workbookViewId="0">
      <selection activeCell="G1" sqref="G1:G1048576"/>
    </sheetView>
  </sheetViews>
  <sheetFormatPr defaultRowHeight="14.25"/>
  <cols>
    <col min="1" max="1" width="3.375" customWidth="1"/>
    <col min="2" max="2" width="44.875" customWidth="1"/>
    <col min="3" max="3" width="1" customWidth="1"/>
    <col min="6" max="6" width="9.125" style="849" bestFit="1" customWidth="1"/>
    <col min="7" max="7" width="10.875" style="883" bestFit="1" customWidth="1"/>
  </cols>
  <sheetData>
    <row r="1" spans="1:7">
      <c r="A1" s="624" t="s">
        <v>1369</v>
      </c>
      <c r="B1" s="625"/>
      <c r="C1" s="618"/>
      <c r="D1" s="626"/>
      <c r="E1" s="627"/>
      <c r="F1" s="860"/>
      <c r="G1" s="992"/>
    </row>
    <row r="2" spans="1:7">
      <c r="A2" s="603"/>
      <c r="B2" s="342"/>
      <c r="C2" s="327"/>
      <c r="D2" s="604"/>
      <c r="E2" s="604"/>
      <c r="F2" s="861"/>
      <c r="G2" s="993"/>
    </row>
    <row r="3" spans="1:7">
      <c r="A3" s="605" t="s">
        <v>850</v>
      </c>
      <c r="B3" s="606" t="s">
        <v>849</v>
      </c>
      <c r="C3" s="607"/>
      <c r="D3" s="608" t="s">
        <v>254</v>
      </c>
      <c r="E3" s="609" t="s">
        <v>848</v>
      </c>
      <c r="F3" s="862" t="s">
        <v>847</v>
      </c>
      <c r="G3" s="994" t="s">
        <v>846</v>
      </c>
    </row>
    <row r="4" spans="1:7">
      <c r="A4" s="604"/>
      <c r="B4" s="610"/>
      <c r="C4" s="611"/>
      <c r="D4" s="604"/>
      <c r="E4" s="604"/>
      <c r="F4" s="863"/>
      <c r="G4" s="995"/>
    </row>
    <row r="5" spans="1:7" ht="27.75">
      <c r="A5" s="603">
        <v>1</v>
      </c>
      <c r="B5" s="612" t="s">
        <v>1310</v>
      </c>
      <c r="C5" s="327"/>
      <c r="D5" s="604" t="s">
        <v>824</v>
      </c>
      <c r="E5" s="604">
        <v>370</v>
      </c>
      <c r="F5" s="864"/>
      <c r="G5" s="995">
        <f>ROUND(ROUND(E5,2)*ROUND(F5,2),2)</f>
        <v>0</v>
      </c>
    </row>
    <row r="6" spans="1:7">
      <c r="A6" s="603"/>
      <c r="B6" s="342"/>
      <c r="C6" s="327"/>
      <c r="D6" s="604"/>
      <c r="E6" s="613"/>
      <c r="F6" s="863"/>
      <c r="G6" s="995"/>
    </row>
    <row r="7" spans="1:7" ht="42.75">
      <c r="A7" s="603">
        <f>A5+1</f>
        <v>2</v>
      </c>
      <c r="B7" s="612" t="s">
        <v>1311</v>
      </c>
      <c r="C7" s="327"/>
      <c r="D7" s="604" t="s">
        <v>93</v>
      </c>
      <c r="E7" s="604">
        <v>2</v>
      </c>
      <c r="F7" s="863"/>
      <c r="G7" s="995">
        <f t="shared" ref="G7:G49" si="0">ROUND(ROUND(E7,2)*ROUND(F7,2),2)</f>
        <v>0</v>
      </c>
    </row>
    <row r="8" spans="1:7">
      <c r="A8" s="603"/>
      <c r="B8" s="342"/>
      <c r="C8" s="327"/>
      <c r="D8" s="604"/>
      <c r="E8" s="613"/>
      <c r="F8" s="863"/>
      <c r="G8" s="995"/>
    </row>
    <row r="9" spans="1:7" ht="40.5">
      <c r="A9" s="603">
        <f>A7+1</f>
        <v>3</v>
      </c>
      <c r="B9" s="612" t="s">
        <v>1377</v>
      </c>
      <c r="C9" s="327"/>
      <c r="D9" s="604" t="s">
        <v>93</v>
      </c>
      <c r="E9" s="604">
        <v>4</v>
      </c>
      <c r="F9" s="863"/>
      <c r="G9" s="995">
        <f t="shared" si="0"/>
        <v>0</v>
      </c>
    </row>
    <row r="10" spans="1:7">
      <c r="A10" s="603"/>
      <c r="B10" s="342"/>
      <c r="C10" s="327"/>
      <c r="D10" s="604"/>
      <c r="E10" s="613"/>
      <c r="F10" s="863"/>
      <c r="G10" s="995"/>
    </row>
    <row r="11" spans="1:7" ht="25.5">
      <c r="A11" s="603">
        <f>A9+1</f>
        <v>4</v>
      </c>
      <c r="B11" s="612" t="s">
        <v>862</v>
      </c>
      <c r="C11" s="327"/>
      <c r="D11" s="604" t="s">
        <v>824</v>
      </c>
      <c r="E11" s="604">
        <v>2</v>
      </c>
      <c r="F11" s="863"/>
      <c r="G11" s="995">
        <f t="shared" si="0"/>
        <v>0</v>
      </c>
    </row>
    <row r="12" spans="1:7">
      <c r="A12" s="603"/>
      <c r="B12" s="342"/>
      <c r="C12" s="327"/>
      <c r="D12" s="604"/>
      <c r="E12" s="613"/>
      <c r="F12" s="863"/>
      <c r="G12" s="995"/>
    </row>
    <row r="13" spans="1:7" ht="15">
      <c r="A13" s="603">
        <f>A11+1</f>
        <v>5</v>
      </c>
      <c r="B13" s="612" t="s">
        <v>1378</v>
      </c>
      <c r="C13" s="327"/>
      <c r="D13" s="604" t="s">
        <v>824</v>
      </c>
      <c r="E13" s="604">
        <v>185</v>
      </c>
      <c r="F13" s="863"/>
      <c r="G13" s="995">
        <f t="shared" si="0"/>
        <v>0</v>
      </c>
    </row>
    <row r="14" spans="1:7">
      <c r="A14" s="603"/>
      <c r="B14" s="342"/>
      <c r="C14" s="327"/>
      <c r="D14" s="604"/>
      <c r="E14" s="613"/>
      <c r="F14" s="863"/>
      <c r="G14" s="995"/>
    </row>
    <row r="15" spans="1:7" ht="40.5">
      <c r="A15" s="603">
        <f>A13+1</f>
        <v>6</v>
      </c>
      <c r="B15" s="612" t="s">
        <v>1379</v>
      </c>
      <c r="C15" s="327"/>
      <c r="D15" s="604" t="s">
        <v>93</v>
      </c>
      <c r="E15" s="604">
        <v>1</v>
      </c>
      <c r="F15" s="863"/>
      <c r="G15" s="995">
        <f t="shared" si="0"/>
        <v>0</v>
      </c>
    </row>
    <row r="16" spans="1:7">
      <c r="A16" s="603"/>
      <c r="B16" s="612"/>
      <c r="C16" s="612"/>
      <c r="D16" s="604"/>
      <c r="E16" s="604"/>
      <c r="F16" s="861"/>
      <c r="G16" s="995"/>
    </row>
    <row r="17" spans="1:7" ht="40.5">
      <c r="A17" s="603">
        <f>A15+1</f>
        <v>7</v>
      </c>
      <c r="B17" s="612" t="s">
        <v>1380</v>
      </c>
      <c r="C17" s="327"/>
      <c r="D17" s="604" t="s">
        <v>93</v>
      </c>
      <c r="E17" s="604">
        <v>1</v>
      </c>
      <c r="F17" s="863"/>
      <c r="G17" s="995">
        <f t="shared" si="0"/>
        <v>0</v>
      </c>
    </row>
    <row r="18" spans="1:7">
      <c r="A18" s="603"/>
      <c r="B18" s="342"/>
      <c r="C18" s="327"/>
      <c r="D18" s="604"/>
      <c r="E18" s="613"/>
      <c r="F18" s="863"/>
      <c r="G18" s="995"/>
    </row>
    <row r="19" spans="1:7" ht="25.5">
      <c r="A19" s="603">
        <f>A17+1</f>
        <v>8</v>
      </c>
      <c r="B19" s="612" t="s">
        <v>1370</v>
      </c>
      <c r="C19" s="327"/>
      <c r="D19" s="604" t="s">
        <v>824</v>
      </c>
      <c r="E19" s="604">
        <v>1</v>
      </c>
      <c r="F19" s="863"/>
      <c r="G19" s="995">
        <f t="shared" si="0"/>
        <v>0</v>
      </c>
    </row>
    <row r="20" spans="1:7">
      <c r="A20" s="603"/>
      <c r="B20" s="342"/>
      <c r="C20" s="327"/>
      <c r="D20" s="604"/>
      <c r="E20" s="613"/>
      <c r="F20" s="863"/>
      <c r="G20" s="995"/>
    </row>
    <row r="21" spans="1:7" ht="25.5">
      <c r="A21" s="603">
        <f>A19+1</f>
        <v>9</v>
      </c>
      <c r="B21" s="612" t="s">
        <v>861</v>
      </c>
      <c r="C21" s="327"/>
      <c r="D21" s="604" t="s">
        <v>113</v>
      </c>
      <c r="E21" s="604">
        <v>21</v>
      </c>
      <c r="F21" s="863"/>
      <c r="G21" s="995">
        <f t="shared" si="0"/>
        <v>0</v>
      </c>
    </row>
    <row r="22" spans="1:7">
      <c r="A22" s="603"/>
      <c r="B22" s="342"/>
      <c r="C22" s="327"/>
      <c r="D22" s="604"/>
      <c r="E22" s="604"/>
      <c r="F22" s="863"/>
      <c r="G22" s="995"/>
    </row>
    <row r="23" spans="1:7" ht="114.75">
      <c r="A23" s="603">
        <f>A21+1</f>
        <v>10</v>
      </c>
      <c r="B23" s="614" t="s">
        <v>1381</v>
      </c>
      <c r="C23" s="327"/>
      <c r="D23" s="615"/>
      <c r="E23" s="616"/>
      <c r="F23" s="865"/>
      <c r="G23" s="995"/>
    </row>
    <row r="24" spans="1:7" ht="38.25">
      <c r="A24" s="603"/>
      <c r="B24" s="612" t="s">
        <v>860</v>
      </c>
      <c r="C24" s="611"/>
      <c r="D24" s="617">
        <v>1</v>
      </c>
      <c r="E24" s="616"/>
      <c r="F24" s="863"/>
      <c r="G24" s="995">
        <f t="shared" si="0"/>
        <v>0</v>
      </c>
    </row>
    <row r="25" spans="1:7" ht="27">
      <c r="A25" s="603"/>
      <c r="B25" s="342" t="s">
        <v>1312</v>
      </c>
      <c r="C25" s="611"/>
      <c r="D25" s="617">
        <v>1</v>
      </c>
      <c r="E25" s="616"/>
      <c r="F25" s="863"/>
      <c r="G25" s="995">
        <f t="shared" si="0"/>
        <v>0</v>
      </c>
    </row>
    <row r="26" spans="1:7">
      <c r="A26" s="603"/>
      <c r="B26" s="612" t="s">
        <v>859</v>
      </c>
      <c r="C26" s="611"/>
      <c r="D26" s="617">
        <v>1</v>
      </c>
      <c r="E26" s="616"/>
      <c r="F26" s="863"/>
      <c r="G26" s="995">
        <f t="shared" si="0"/>
        <v>0</v>
      </c>
    </row>
    <row r="27" spans="1:7" ht="25.5">
      <c r="A27" s="603"/>
      <c r="B27" s="610" t="s">
        <v>858</v>
      </c>
      <c r="C27" s="611"/>
      <c r="D27" s="617">
        <v>1</v>
      </c>
      <c r="E27" s="616"/>
      <c r="F27" s="863"/>
      <c r="G27" s="995">
        <f t="shared" si="0"/>
        <v>0</v>
      </c>
    </row>
    <row r="28" spans="1:7">
      <c r="A28" s="603"/>
      <c r="B28" s="628" t="s">
        <v>857</v>
      </c>
      <c r="C28" s="327"/>
      <c r="D28" s="604"/>
      <c r="E28" s="604"/>
      <c r="F28" s="863"/>
      <c r="G28" s="995"/>
    </row>
    <row r="29" spans="1:7" ht="63.75">
      <c r="A29" s="603"/>
      <c r="B29" s="614" t="s">
        <v>856</v>
      </c>
      <c r="C29" s="611"/>
      <c r="D29" s="617">
        <v>1</v>
      </c>
      <c r="E29" s="349"/>
      <c r="F29" s="866"/>
      <c r="G29" s="995">
        <f t="shared" si="0"/>
        <v>0</v>
      </c>
    </row>
    <row r="30" spans="1:7">
      <c r="A30" s="604"/>
      <c r="B30" s="618" t="s">
        <v>855</v>
      </c>
      <c r="C30" s="611"/>
      <c r="D30" s="619" t="s">
        <v>93</v>
      </c>
      <c r="E30" s="619">
        <v>1</v>
      </c>
      <c r="F30" s="867"/>
      <c r="G30" s="995">
        <f t="shared" si="0"/>
        <v>0</v>
      </c>
    </row>
    <row r="31" spans="1:7">
      <c r="A31" s="603"/>
      <c r="B31" s="342"/>
      <c r="C31" s="327"/>
      <c r="D31" s="604"/>
      <c r="E31" s="604"/>
      <c r="F31" s="861"/>
      <c r="G31" s="995"/>
    </row>
    <row r="32" spans="1:7" ht="25.5">
      <c r="A32" s="603">
        <f>A23+1</f>
        <v>11</v>
      </c>
      <c r="B32" s="614" t="s">
        <v>1313</v>
      </c>
      <c r="C32" s="327"/>
      <c r="D32" s="615"/>
      <c r="E32" s="616"/>
      <c r="F32" s="865"/>
      <c r="G32" s="995"/>
    </row>
    <row r="33" spans="1:7" ht="102">
      <c r="A33" s="603"/>
      <c r="B33" s="342" t="s">
        <v>854</v>
      </c>
      <c r="C33" s="327"/>
      <c r="D33" s="617">
        <v>1</v>
      </c>
      <c r="E33" s="616"/>
      <c r="F33" s="863"/>
      <c r="G33" s="995">
        <f t="shared" si="0"/>
        <v>0</v>
      </c>
    </row>
    <row r="34" spans="1:7" ht="51">
      <c r="A34" s="603"/>
      <c r="B34" s="612" t="s">
        <v>853</v>
      </c>
      <c r="C34" s="611"/>
      <c r="D34" s="617">
        <v>1</v>
      </c>
      <c r="E34" s="349"/>
      <c r="F34" s="866"/>
      <c r="G34" s="995">
        <f t="shared" si="0"/>
        <v>0</v>
      </c>
    </row>
    <row r="35" spans="1:7">
      <c r="A35" s="604"/>
      <c r="B35" s="618" t="s">
        <v>852</v>
      </c>
      <c r="C35" s="611"/>
      <c r="D35" s="619" t="s">
        <v>93</v>
      </c>
      <c r="E35" s="619">
        <v>1</v>
      </c>
      <c r="F35" s="867"/>
      <c r="G35" s="995">
        <f t="shared" si="0"/>
        <v>0</v>
      </c>
    </row>
    <row r="36" spans="1:7">
      <c r="A36" s="603"/>
      <c r="B36" s="342"/>
      <c r="C36" s="327"/>
      <c r="D36" s="604"/>
      <c r="E36" s="604"/>
      <c r="F36" s="861"/>
      <c r="G36" s="995"/>
    </row>
    <row r="37" spans="1:7" ht="127.5">
      <c r="A37" s="603">
        <f>A32+1</f>
        <v>12</v>
      </c>
      <c r="B37" s="614" t="s">
        <v>1382</v>
      </c>
      <c r="C37" s="327"/>
      <c r="D37" s="615"/>
      <c r="E37" s="616"/>
      <c r="F37" s="865"/>
      <c r="G37" s="995"/>
    </row>
    <row r="38" spans="1:7">
      <c r="A38" s="603"/>
      <c r="B38" s="628" t="s">
        <v>1371</v>
      </c>
      <c r="C38" s="327"/>
      <c r="D38" s="604"/>
      <c r="E38" s="604"/>
      <c r="F38" s="863"/>
      <c r="G38" s="995"/>
    </row>
    <row r="39" spans="1:7" ht="55.5">
      <c r="A39" s="603"/>
      <c r="B39" s="342" t="s">
        <v>1383</v>
      </c>
      <c r="C39" s="327"/>
      <c r="D39" s="617">
        <v>3</v>
      </c>
      <c r="E39" s="616"/>
      <c r="F39" s="863"/>
      <c r="G39" s="995">
        <f t="shared" si="0"/>
        <v>0</v>
      </c>
    </row>
    <row r="40" spans="1:7" ht="25.5">
      <c r="A40" s="603"/>
      <c r="B40" s="612" t="s">
        <v>1372</v>
      </c>
      <c r="C40" s="611"/>
      <c r="D40" s="617">
        <v>1</v>
      </c>
      <c r="E40" s="616"/>
      <c r="F40" s="863"/>
      <c r="G40" s="995">
        <f t="shared" si="0"/>
        <v>0</v>
      </c>
    </row>
    <row r="41" spans="1:7">
      <c r="A41" s="603"/>
      <c r="B41" s="610" t="s">
        <v>1373</v>
      </c>
      <c r="C41" s="611"/>
      <c r="D41" s="617">
        <v>2</v>
      </c>
      <c r="E41" s="616"/>
      <c r="F41" s="863"/>
      <c r="G41" s="995">
        <f t="shared" si="0"/>
        <v>0</v>
      </c>
    </row>
    <row r="42" spans="1:7">
      <c r="A42" s="603"/>
      <c r="B42" s="628" t="s">
        <v>1374</v>
      </c>
      <c r="C42" s="327"/>
      <c r="D42" s="604"/>
      <c r="E42" s="604"/>
      <c r="F42" s="863"/>
      <c r="G42" s="995"/>
    </row>
    <row r="43" spans="1:7" ht="76.5">
      <c r="A43" s="603"/>
      <c r="B43" s="614" t="s">
        <v>1375</v>
      </c>
      <c r="C43" s="611"/>
      <c r="D43" s="617">
        <v>1</v>
      </c>
      <c r="E43" s="616"/>
      <c r="F43" s="863"/>
      <c r="G43" s="995">
        <f t="shared" si="0"/>
        <v>0</v>
      </c>
    </row>
    <row r="44" spans="1:7">
      <c r="A44" s="603"/>
      <c r="B44" s="610" t="s">
        <v>1376</v>
      </c>
      <c r="C44" s="611"/>
      <c r="D44" s="617">
        <v>1</v>
      </c>
      <c r="E44" s="616"/>
      <c r="F44" s="863"/>
      <c r="G44" s="995">
        <f t="shared" si="0"/>
        <v>0</v>
      </c>
    </row>
    <row r="45" spans="1:7">
      <c r="A45" s="603"/>
      <c r="B45" s="628" t="s">
        <v>857</v>
      </c>
      <c r="C45" s="327"/>
      <c r="D45" s="604"/>
      <c r="E45" s="604"/>
      <c r="F45" s="863"/>
      <c r="G45" s="995"/>
    </row>
    <row r="46" spans="1:7" ht="63.75">
      <c r="A46" s="603"/>
      <c r="B46" s="614" t="s">
        <v>856</v>
      </c>
      <c r="C46" s="611"/>
      <c r="D46" s="617">
        <v>1</v>
      </c>
      <c r="E46" s="349"/>
      <c r="F46" s="866"/>
      <c r="G46" s="995">
        <f t="shared" si="0"/>
        <v>0</v>
      </c>
    </row>
    <row r="47" spans="1:7">
      <c r="A47" s="604"/>
      <c r="B47" s="618" t="s">
        <v>1447</v>
      </c>
      <c r="C47" s="611"/>
      <c r="D47" s="619" t="s">
        <v>93</v>
      </c>
      <c r="E47" s="619">
        <v>1</v>
      </c>
      <c r="F47" s="867"/>
      <c r="G47" s="995">
        <f t="shared" si="0"/>
        <v>0</v>
      </c>
    </row>
    <row r="48" spans="1:7">
      <c r="A48" s="603"/>
      <c r="B48" s="342"/>
      <c r="C48" s="327"/>
      <c r="D48" s="604"/>
      <c r="E48" s="604"/>
      <c r="F48" s="861"/>
      <c r="G48" s="995"/>
    </row>
    <row r="49" spans="1:7" ht="89.25">
      <c r="A49" s="603">
        <f>A37+1</f>
        <v>13</v>
      </c>
      <c r="B49" s="614" t="s">
        <v>1314</v>
      </c>
      <c r="C49" s="611"/>
      <c r="D49" s="604" t="s">
        <v>113</v>
      </c>
      <c r="E49" s="620">
        <v>1</v>
      </c>
      <c r="F49" s="863"/>
      <c r="G49" s="995">
        <f t="shared" si="0"/>
        <v>0</v>
      </c>
    </row>
    <row r="50" spans="1:7">
      <c r="A50" s="604"/>
      <c r="B50" s="610"/>
      <c r="C50" s="611"/>
      <c r="D50" s="604"/>
      <c r="E50" s="604"/>
      <c r="F50" s="863"/>
      <c r="G50" s="995"/>
    </row>
    <row r="51" spans="1:7">
      <c r="A51" s="621" t="s">
        <v>805</v>
      </c>
      <c r="B51" s="346"/>
      <c r="C51" s="622"/>
      <c r="D51" s="623"/>
      <c r="E51" s="352"/>
      <c r="F51" s="866"/>
      <c r="G51" s="996">
        <f>ROUND(SUM(G5:G49),1)</f>
        <v>0</v>
      </c>
    </row>
  </sheetData>
  <sheetProtection algorithmName="SHA-512" hashValue="3DPtrBv5pT8vMdlEJ/dHz/05he7S10p+lk+mXyKmJBM2nLi6MH5yvlVM2keKbZ9G3apUXCFEQaTUDtZVdg2L0g==" saltValue="QcD6gZTb15alMjcJGkMoFw==" spinCount="100000" sheet="1" objects="1" scenarios="1" formatCells="0" formatColumns="0"/>
  <protectedRanges>
    <protectedRange sqref="F48" name="cena na enoto_1_1_1_1_1"/>
  </protectedRange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7"/>
  <sheetViews>
    <sheetView view="pageBreakPreview" zoomScale="125" zoomScaleNormal="100" zoomScaleSheetLayoutView="125" workbookViewId="0">
      <selection activeCell="G1" sqref="G1:G1048576"/>
    </sheetView>
  </sheetViews>
  <sheetFormatPr defaultColWidth="8.125" defaultRowHeight="14.25"/>
  <cols>
    <col min="1" max="1" width="3.5" style="644" customWidth="1"/>
    <col min="2" max="2" width="39" style="696" customWidth="1"/>
    <col min="3" max="3" width="0.625" style="697" customWidth="1"/>
    <col min="4" max="4" width="4.75" style="644" customWidth="1"/>
    <col min="5" max="5" width="7.5" style="644" customWidth="1"/>
    <col min="6" max="6" width="11.375" style="859" customWidth="1"/>
    <col min="7" max="7" width="11.375" style="1005" customWidth="1"/>
    <col min="8" max="8" width="11.125" style="644" hidden="1" customWidth="1"/>
    <col min="9" max="9" width="1.25" style="644" hidden="1" customWidth="1"/>
    <col min="10" max="16384" width="8.125" style="644"/>
  </cols>
  <sheetData>
    <row r="1" spans="1:9">
      <c r="A1" s="637" t="s">
        <v>888</v>
      </c>
      <c r="B1" s="638"/>
      <c r="C1" s="639"/>
      <c r="D1" s="640"/>
      <c r="E1" s="641"/>
      <c r="F1" s="852"/>
      <c r="G1" s="997"/>
      <c r="H1" s="642"/>
      <c r="I1" s="643"/>
    </row>
    <row r="2" spans="1:9" ht="9" customHeight="1" thickBot="1">
      <c r="A2" s="645"/>
      <c r="B2" s="646"/>
      <c r="C2" s="646"/>
      <c r="D2" s="647"/>
      <c r="E2" s="648"/>
      <c r="F2" s="853"/>
      <c r="G2" s="998"/>
      <c r="H2" s="634"/>
      <c r="I2" s="650"/>
    </row>
    <row r="3" spans="1:9" s="655" customFormat="1" ht="12.75">
      <c r="A3" s="651" t="s">
        <v>850</v>
      </c>
      <c r="B3" s="635" t="s">
        <v>849</v>
      </c>
      <c r="C3" s="652"/>
      <c r="D3" s="653" t="s">
        <v>254</v>
      </c>
      <c r="E3" s="654" t="s">
        <v>848</v>
      </c>
      <c r="F3" s="854" t="s">
        <v>847</v>
      </c>
      <c r="G3" s="999" t="s">
        <v>846</v>
      </c>
      <c r="H3" s="634"/>
      <c r="I3" s="650"/>
    </row>
    <row r="4" spans="1:9" ht="6.75" customHeight="1">
      <c r="A4" s="636"/>
      <c r="B4" s="656"/>
      <c r="C4" s="657"/>
      <c r="D4" s="636"/>
      <c r="E4" s="636"/>
      <c r="F4" s="853"/>
      <c r="G4" s="998"/>
      <c r="H4" s="634"/>
      <c r="I4" s="650"/>
    </row>
    <row r="5" spans="1:9" s="634" customFormat="1" ht="15" customHeight="1">
      <c r="A5" s="645"/>
      <c r="B5" s="658" t="s">
        <v>245</v>
      </c>
      <c r="C5" s="647"/>
      <c r="D5" s="636"/>
      <c r="E5" s="659"/>
      <c r="F5" s="853"/>
      <c r="G5" s="998"/>
      <c r="I5" s="650"/>
    </row>
    <row r="6" spans="1:9" s="634" customFormat="1" ht="15" customHeight="1">
      <c r="A6" s="645">
        <v>1</v>
      </c>
      <c r="B6" s="646" t="s">
        <v>845</v>
      </c>
      <c r="C6" s="647"/>
      <c r="D6" s="636" t="s">
        <v>824</v>
      </c>
      <c r="E6" s="636">
        <v>190</v>
      </c>
      <c r="F6" s="853"/>
      <c r="G6" s="998">
        <f>ROUND(ROUND(E6,2)*ROUND(F6,2),2)</f>
        <v>0</v>
      </c>
      <c r="I6" s="650"/>
    </row>
    <row r="7" spans="1:9" ht="9" customHeight="1">
      <c r="A7" s="645"/>
      <c r="B7" s="646"/>
      <c r="C7" s="646"/>
      <c r="D7" s="647"/>
      <c r="E7" s="648"/>
      <c r="F7" s="853"/>
      <c r="G7" s="998"/>
      <c r="H7" s="660"/>
    </row>
    <row r="8" spans="1:9" s="634" customFormat="1" ht="42" customHeight="1">
      <c r="A8" s="645">
        <f>A6+1</f>
        <v>2</v>
      </c>
      <c r="B8" s="646" t="s">
        <v>844</v>
      </c>
      <c r="C8" s="647"/>
      <c r="D8" s="636"/>
      <c r="E8" s="636">
        <v>60</v>
      </c>
      <c r="F8" s="853"/>
      <c r="G8" s="998">
        <f t="shared" ref="G8:G44" si="0">ROUND(ROUND(E8,2)*ROUND(F8,2),2)</f>
        <v>0</v>
      </c>
      <c r="I8" s="650" t="str">
        <f>IF(F8="","VNESI CENO NA ENOTO!","")</f>
        <v>VNESI CENO NA ENOTO!</v>
      </c>
    </row>
    <row r="9" spans="1:9" ht="9" customHeight="1">
      <c r="A9" s="645"/>
      <c r="B9" s="646"/>
      <c r="C9" s="646"/>
      <c r="D9" s="647"/>
      <c r="E9" s="659"/>
      <c r="F9" s="853"/>
      <c r="G9" s="998"/>
      <c r="H9" s="660"/>
    </row>
    <row r="10" spans="1:9" s="661" customFormat="1" ht="123.6" customHeight="1">
      <c r="A10" s="645">
        <f>A8+1</f>
        <v>3</v>
      </c>
      <c r="B10" s="646" t="s">
        <v>887</v>
      </c>
      <c r="C10" s="647"/>
      <c r="D10" s="636" t="s">
        <v>93</v>
      </c>
      <c r="E10" s="636">
        <v>1</v>
      </c>
      <c r="F10" s="853"/>
      <c r="G10" s="998">
        <f t="shared" si="0"/>
        <v>0</v>
      </c>
      <c r="I10" s="662" t="str">
        <f>IF(F10="","VNESI CENO NA ENOTO!","")</f>
        <v>VNESI CENO NA ENOTO!</v>
      </c>
    </row>
    <row r="11" spans="1:9" ht="9" customHeight="1">
      <c r="A11" s="645"/>
      <c r="B11" s="646"/>
      <c r="C11" s="646"/>
      <c r="D11" s="647"/>
      <c r="E11" s="659"/>
      <c r="F11" s="853"/>
      <c r="G11" s="998"/>
      <c r="H11" s="660"/>
    </row>
    <row r="12" spans="1:9" s="634" customFormat="1" ht="15" customHeight="1">
      <c r="A12" s="645"/>
      <c r="B12" s="658" t="s">
        <v>12</v>
      </c>
      <c r="C12" s="647"/>
      <c r="D12" s="636"/>
      <c r="E12" s="659"/>
      <c r="F12" s="853"/>
      <c r="G12" s="998"/>
      <c r="I12" s="650"/>
    </row>
    <row r="13" spans="1:9" s="634" customFormat="1" ht="55.15" customHeight="1">
      <c r="A13" s="645">
        <f>A10+1</f>
        <v>4</v>
      </c>
      <c r="B13" s="646" t="s">
        <v>886</v>
      </c>
      <c r="C13" s="647"/>
      <c r="D13" s="636" t="s">
        <v>1305</v>
      </c>
      <c r="E13" s="648">
        <v>110.3</v>
      </c>
      <c r="F13" s="853"/>
      <c r="G13" s="998">
        <f t="shared" si="0"/>
        <v>0</v>
      </c>
      <c r="I13" s="650" t="str">
        <f>IF(F13="","VNESI CENO NA ENOTO!","")</f>
        <v>VNESI CENO NA ENOTO!</v>
      </c>
    </row>
    <row r="14" spans="1:9" ht="9" customHeight="1">
      <c r="A14" s="645"/>
      <c r="B14" s="646"/>
      <c r="C14" s="646"/>
      <c r="D14" s="647"/>
      <c r="E14" s="648"/>
      <c r="F14" s="853"/>
      <c r="G14" s="998"/>
      <c r="H14" s="660"/>
    </row>
    <row r="15" spans="1:9" s="634" customFormat="1" ht="55.15" customHeight="1">
      <c r="A15" s="645">
        <f>A13+1</f>
        <v>5</v>
      </c>
      <c r="B15" s="646" t="s">
        <v>885</v>
      </c>
      <c r="C15" s="647"/>
      <c r="D15" s="636" t="s">
        <v>1305</v>
      </c>
      <c r="E15" s="648">
        <v>27.6</v>
      </c>
      <c r="F15" s="853"/>
      <c r="G15" s="998">
        <f t="shared" si="0"/>
        <v>0</v>
      </c>
      <c r="I15" s="650" t="str">
        <f>IF(F15="","VNESI CENO NA ENOTO!","")</f>
        <v>VNESI CENO NA ENOTO!</v>
      </c>
    </row>
    <row r="16" spans="1:9" ht="9" customHeight="1">
      <c r="A16" s="645"/>
      <c r="B16" s="646"/>
      <c r="C16" s="646"/>
      <c r="D16" s="647"/>
      <c r="E16" s="648"/>
      <c r="F16" s="853"/>
      <c r="G16" s="998"/>
      <c r="H16" s="660"/>
    </row>
    <row r="17" spans="1:9" s="634" customFormat="1" ht="28.15" customHeight="1">
      <c r="A17" s="645">
        <f>A15+1</f>
        <v>6</v>
      </c>
      <c r="B17" s="646" t="s">
        <v>835</v>
      </c>
      <c r="C17" s="647"/>
      <c r="D17" s="636" t="s">
        <v>1304</v>
      </c>
      <c r="E17" s="648">
        <v>81</v>
      </c>
      <c r="F17" s="853"/>
      <c r="G17" s="998">
        <f t="shared" si="0"/>
        <v>0</v>
      </c>
      <c r="I17" s="650" t="str">
        <f>IF(F17="","VNESI CENO NA ENOTO!","")</f>
        <v>VNESI CENO NA ENOTO!</v>
      </c>
    </row>
    <row r="18" spans="1:9" ht="9" customHeight="1">
      <c r="A18" s="645"/>
      <c r="B18" s="646"/>
      <c r="C18" s="646"/>
      <c r="D18" s="647"/>
      <c r="E18" s="648"/>
      <c r="F18" s="853"/>
      <c r="G18" s="998"/>
      <c r="H18" s="660"/>
    </row>
    <row r="19" spans="1:9" s="634" customFormat="1" ht="55.9" customHeight="1">
      <c r="A19" s="645">
        <f>A17+1</f>
        <v>7</v>
      </c>
      <c r="B19" s="646" t="s">
        <v>834</v>
      </c>
      <c r="C19" s="647"/>
      <c r="D19" s="636" t="s">
        <v>1305</v>
      </c>
      <c r="E19" s="648">
        <v>6.5</v>
      </c>
      <c r="F19" s="853"/>
      <c r="G19" s="998">
        <f t="shared" si="0"/>
        <v>0</v>
      </c>
      <c r="I19" s="650" t="str">
        <f>IF(F19="","VNESI CENO NA ENOTO!","")</f>
        <v>VNESI CENO NA ENOTO!</v>
      </c>
    </row>
    <row r="20" spans="1:9" ht="9" customHeight="1">
      <c r="A20" s="645"/>
      <c r="B20" s="646"/>
      <c r="C20" s="646"/>
      <c r="D20" s="647"/>
      <c r="E20" s="648"/>
      <c r="F20" s="853"/>
      <c r="G20" s="998"/>
      <c r="H20" s="660"/>
    </row>
    <row r="21" spans="1:9" s="634" customFormat="1" ht="42" customHeight="1">
      <c r="A21" s="645">
        <f>A19+1</f>
        <v>8</v>
      </c>
      <c r="B21" s="646" t="s">
        <v>833</v>
      </c>
      <c r="C21" s="647"/>
      <c r="D21" s="636" t="s">
        <v>1305</v>
      </c>
      <c r="E21" s="648">
        <v>30.6</v>
      </c>
      <c r="F21" s="853"/>
      <c r="G21" s="998">
        <f t="shared" si="0"/>
        <v>0</v>
      </c>
      <c r="I21" s="650" t="str">
        <f>IF(F21="","VNESI CENO NA ENOTO!","")</f>
        <v>VNESI CENO NA ENOTO!</v>
      </c>
    </row>
    <row r="22" spans="1:9" ht="9" customHeight="1">
      <c r="A22" s="645"/>
      <c r="B22" s="646"/>
      <c r="C22" s="647"/>
      <c r="D22" s="647"/>
      <c r="E22" s="648"/>
      <c r="F22" s="853"/>
      <c r="G22" s="998"/>
      <c r="H22" s="660"/>
    </row>
    <row r="23" spans="1:9" s="634" customFormat="1" ht="41.45" customHeight="1">
      <c r="A23" s="645">
        <f>A21+1</f>
        <v>9</v>
      </c>
      <c r="B23" s="646" t="s">
        <v>832</v>
      </c>
      <c r="C23" s="647"/>
      <c r="D23" s="636" t="s">
        <v>1305</v>
      </c>
      <c r="E23" s="648">
        <v>4.5999999999999996</v>
      </c>
      <c r="F23" s="853"/>
      <c r="G23" s="998">
        <f t="shared" si="0"/>
        <v>0</v>
      </c>
      <c r="I23" s="650" t="str">
        <f>IF(F23="","VNESI CENO NA ENOTO!","")</f>
        <v>VNESI CENO NA ENOTO!</v>
      </c>
    </row>
    <row r="24" spans="1:9" ht="9" customHeight="1">
      <c r="A24" s="645"/>
      <c r="B24" s="646"/>
      <c r="C24" s="647"/>
      <c r="D24" s="647"/>
      <c r="E24" s="648"/>
      <c r="F24" s="853"/>
      <c r="G24" s="998"/>
      <c r="H24" s="660"/>
    </row>
    <row r="25" spans="1:9" s="634" customFormat="1" ht="40.9" customHeight="1">
      <c r="A25" s="645">
        <f>A23+1</f>
        <v>10</v>
      </c>
      <c r="B25" s="646" t="s">
        <v>831</v>
      </c>
      <c r="C25" s="647"/>
      <c r="D25" s="636" t="s">
        <v>1305</v>
      </c>
      <c r="E25" s="648">
        <v>76.5</v>
      </c>
      <c r="F25" s="853"/>
      <c r="G25" s="998">
        <f t="shared" si="0"/>
        <v>0</v>
      </c>
      <c r="I25" s="650" t="str">
        <f>IF(F25="","VNESI CENO NA ENOTO!","")</f>
        <v>VNESI CENO NA ENOTO!</v>
      </c>
    </row>
    <row r="26" spans="1:9" ht="9" customHeight="1">
      <c r="A26" s="645"/>
      <c r="B26" s="646"/>
      <c r="C26" s="647"/>
      <c r="D26" s="647"/>
      <c r="E26" s="648"/>
      <c r="F26" s="853"/>
      <c r="G26" s="998"/>
      <c r="H26" s="660"/>
    </row>
    <row r="27" spans="1:9" s="634" customFormat="1" ht="40.9" customHeight="1">
      <c r="A27" s="645">
        <f>A25+1</f>
        <v>11</v>
      </c>
      <c r="B27" s="646" t="s">
        <v>829</v>
      </c>
      <c r="C27" s="647"/>
      <c r="D27" s="636" t="s">
        <v>1305</v>
      </c>
      <c r="E27" s="648">
        <v>133.1</v>
      </c>
      <c r="F27" s="853"/>
      <c r="G27" s="998">
        <f t="shared" si="0"/>
        <v>0</v>
      </c>
      <c r="I27" s="650" t="str">
        <f>IF(F27="","VNESI CENO NA ENOTO!","")</f>
        <v>VNESI CENO NA ENOTO!</v>
      </c>
    </row>
    <row r="28" spans="1:9" ht="9" customHeight="1">
      <c r="A28" s="645"/>
      <c r="B28" s="646"/>
      <c r="C28" s="656"/>
      <c r="D28" s="647"/>
      <c r="E28" s="648"/>
      <c r="F28" s="853"/>
      <c r="G28" s="998"/>
      <c r="H28" s="660"/>
    </row>
    <row r="29" spans="1:9" s="634" customFormat="1" ht="15" customHeight="1">
      <c r="A29" s="645"/>
      <c r="B29" s="658" t="s">
        <v>8</v>
      </c>
      <c r="C29" s="647"/>
      <c r="D29" s="636"/>
      <c r="E29" s="659"/>
      <c r="F29" s="853"/>
      <c r="G29" s="998"/>
      <c r="I29" s="650"/>
    </row>
    <row r="30" spans="1:9" s="655" customFormat="1" ht="41.45" customHeight="1">
      <c r="A30" s="645">
        <f>A27+1</f>
        <v>12</v>
      </c>
      <c r="B30" s="646" t="s">
        <v>1302</v>
      </c>
      <c r="C30" s="647"/>
      <c r="D30" s="636" t="s">
        <v>824</v>
      </c>
      <c r="E30" s="636">
        <v>240</v>
      </c>
      <c r="F30" s="853"/>
      <c r="G30" s="998">
        <f t="shared" si="0"/>
        <v>0</v>
      </c>
      <c r="H30" s="660"/>
      <c r="I30" s="660"/>
    </row>
    <row r="31" spans="1:9" ht="9" customHeight="1">
      <c r="A31" s="645"/>
      <c r="B31" s="646"/>
      <c r="C31" s="647"/>
      <c r="D31" s="636"/>
      <c r="E31" s="648"/>
      <c r="F31" s="853"/>
      <c r="G31" s="998"/>
      <c r="H31" s="660"/>
      <c r="I31" s="660"/>
    </row>
    <row r="32" spans="1:9" s="655" customFormat="1" ht="41.45" customHeight="1">
      <c r="A32" s="645">
        <f>A30+1</f>
        <v>13</v>
      </c>
      <c r="B32" s="646" t="s">
        <v>1384</v>
      </c>
      <c r="C32" s="647"/>
      <c r="D32" s="636" t="s">
        <v>824</v>
      </c>
      <c r="E32" s="636">
        <v>20</v>
      </c>
      <c r="F32" s="853"/>
      <c r="G32" s="998">
        <f t="shared" si="0"/>
        <v>0</v>
      </c>
      <c r="H32" s="660"/>
      <c r="I32" s="660"/>
    </row>
    <row r="33" spans="1:9" ht="9" customHeight="1">
      <c r="A33" s="645"/>
      <c r="B33" s="646"/>
      <c r="C33" s="647"/>
      <c r="D33" s="636"/>
      <c r="E33" s="648"/>
      <c r="F33" s="853"/>
      <c r="G33" s="998"/>
      <c r="H33" s="660"/>
      <c r="I33" s="660"/>
    </row>
    <row r="34" spans="1:9" s="655" customFormat="1" ht="40.15" customHeight="1">
      <c r="A34" s="645">
        <f>A32+1</f>
        <v>14</v>
      </c>
      <c r="B34" s="646" t="s">
        <v>1385</v>
      </c>
      <c r="C34" s="647"/>
      <c r="D34" s="636" t="s">
        <v>824</v>
      </c>
      <c r="E34" s="636">
        <v>190</v>
      </c>
      <c r="F34" s="853"/>
      <c r="G34" s="998">
        <f t="shared" si="0"/>
        <v>0</v>
      </c>
      <c r="H34" s="660"/>
      <c r="I34" s="660"/>
    </row>
    <row r="35" spans="1:9" ht="9" customHeight="1">
      <c r="A35" s="645"/>
      <c r="B35" s="646"/>
      <c r="C35" s="647"/>
      <c r="D35" s="636"/>
      <c r="E35" s="648"/>
      <c r="F35" s="853"/>
      <c r="G35" s="998"/>
      <c r="H35" s="660"/>
      <c r="I35" s="660"/>
    </row>
    <row r="36" spans="1:9" s="655" customFormat="1" ht="40.15" customHeight="1">
      <c r="A36" s="645">
        <f>A34+1</f>
        <v>15</v>
      </c>
      <c r="B36" s="646" t="s">
        <v>1386</v>
      </c>
      <c r="C36" s="647"/>
      <c r="D36" s="636" t="s">
        <v>824</v>
      </c>
      <c r="E36" s="636">
        <v>80</v>
      </c>
      <c r="F36" s="853"/>
      <c r="G36" s="998">
        <f t="shared" si="0"/>
        <v>0</v>
      </c>
      <c r="H36" s="660"/>
      <c r="I36" s="660"/>
    </row>
    <row r="37" spans="1:9" ht="9" customHeight="1">
      <c r="A37" s="645"/>
      <c r="B37" s="646"/>
      <c r="C37" s="647"/>
      <c r="D37" s="636"/>
      <c r="E37" s="648"/>
      <c r="F37" s="853"/>
      <c r="G37" s="998"/>
      <c r="H37" s="660"/>
      <c r="I37" s="660"/>
    </row>
    <row r="38" spans="1:9" s="634" customFormat="1" ht="15" customHeight="1">
      <c r="A38" s="645">
        <f>A36+1</f>
        <v>16</v>
      </c>
      <c r="B38" s="646" t="s">
        <v>828</v>
      </c>
      <c r="C38" s="647"/>
      <c r="D38" s="636" t="s">
        <v>824</v>
      </c>
      <c r="E38" s="636">
        <v>240</v>
      </c>
      <c r="F38" s="853"/>
      <c r="G38" s="998">
        <f t="shared" si="0"/>
        <v>0</v>
      </c>
      <c r="I38" s="650" t="str">
        <f>IF(F38="","VNESI CENO NA ENOTO!","")</f>
        <v>VNESI CENO NA ENOTO!</v>
      </c>
    </row>
    <row r="39" spans="1:9" ht="9" customHeight="1">
      <c r="A39" s="645"/>
      <c r="B39" s="646"/>
      <c r="C39" s="646"/>
      <c r="D39" s="636"/>
      <c r="E39" s="636"/>
      <c r="F39" s="855"/>
      <c r="G39" s="998"/>
    </row>
    <row r="40" spans="1:9" s="634" customFormat="1" ht="28.15" customHeight="1">
      <c r="A40" s="645">
        <f>A38+1</f>
        <v>17</v>
      </c>
      <c r="B40" s="646" t="s">
        <v>827</v>
      </c>
      <c r="C40" s="647"/>
      <c r="D40" s="636" t="s">
        <v>113</v>
      </c>
      <c r="E40" s="636">
        <v>6</v>
      </c>
      <c r="F40" s="853"/>
      <c r="G40" s="998">
        <f t="shared" si="0"/>
        <v>0</v>
      </c>
      <c r="I40" s="650" t="str">
        <f>IF(F40="","VNESI CENO NA ENOTO!","")</f>
        <v>VNESI CENO NA ENOTO!</v>
      </c>
    </row>
    <row r="41" spans="1:9" ht="9" customHeight="1">
      <c r="A41" s="645"/>
      <c r="B41" s="646"/>
      <c r="C41" s="646"/>
      <c r="D41" s="636"/>
      <c r="E41" s="636"/>
      <c r="F41" s="855"/>
      <c r="G41" s="998"/>
    </row>
    <row r="42" spans="1:9" s="634" customFormat="1" ht="28.15" customHeight="1">
      <c r="A42" s="645">
        <f>A40+1</f>
        <v>18</v>
      </c>
      <c r="B42" s="646" t="s">
        <v>826</v>
      </c>
      <c r="C42" s="647"/>
      <c r="D42" s="636" t="s">
        <v>113</v>
      </c>
      <c r="E42" s="636">
        <v>12</v>
      </c>
      <c r="F42" s="853"/>
      <c r="G42" s="998">
        <f t="shared" si="0"/>
        <v>0</v>
      </c>
      <c r="I42" s="650" t="str">
        <f>IF(F42="","VNESI CENO NA ENOTO!","")</f>
        <v>VNESI CENO NA ENOTO!</v>
      </c>
    </row>
    <row r="43" spans="1:9" ht="9" customHeight="1">
      <c r="A43" s="645"/>
      <c r="B43" s="646"/>
      <c r="C43" s="646"/>
      <c r="D43" s="636"/>
      <c r="E43" s="636"/>
      <c r="F43" s="855"/>
      <c r="G43" s="998"/>
    </row>
    <row r="44" spans="1:9" s="634" customFormat="1" ht="28.15" customHeight="1">
      <c r="A44" s="645">
        <f>A42+1</f>
        <v>19</v>
      </c>
      <c r="B44" s="646" t="s">
        <v>825</v>
      </c>
      <c r="C44" s="647"/>
      <c r="D44" s="636" t="s">
        <v>824</v>
      </c>
      <c r="E44" s="636">
        <v>190</v>
      </c>
      <c r="F44" s="853"/>
      <c r="G44" s="998">
        <f t="shared" si="0"/>
        <v>0</v>
      </c>
      <c r="I44" s="650" t="str">
        <f>IF(F44="","VNESI CENO NA ENOTO!","")</f>
        <v>VNESI CENO NA ENOTO!</v>
      </c>
    </row>
    <row r="45" spans="1:9" ht="9" customHeight="1">
      <c r="A45" s="645"/>
      <c r="B45" s="646"/>
      <c r="C45" s="646"/>
      <c r="D45" s="636"/>
      <c r="E45" s="636"/>
      <c r="F45" s="855"/>
      <c r="G45" s="1000"/>
    </row>
    <row r="46" spans="1:9" s="655" customFormat="1" ht="42" customHeight="1">
      <c r="A46" s="645">
        <f>A44+1</f>
        <v>20</v>
      </c>
      <c r="B46" s="646" t="s">
        <v>884</v>
      </c>
      <c r="C46" s="656"/>
      <c r="D46" s="647"/>
      <c r="E46" s="636"/>
      <c r="F46" s="853"/>
      <c r="G46" s="998"/>
      <c r="H46" s="660"/>
      <c r="I46" s="660"/>
    </row>
    <row r="47" spans="1:9" ht="40.9" customHeight="1">
      <c r="A47" s="645"/>
      <c r="B47" s="646" t="s">
        <v>883</v>
      </c>
      <c r="C47" s="656"/>
      <c r="D47" s="636" t="s">
        <v>1305</v>
      </c>
      <c r="E47" s="648">
        <v>1.679</v>
      </c>
      <c r="F47" s="853"/>
      <c r="G47" s="998"/>
      <c r="H47" s="660">
        <v>7.6</v>
      </c>
      <c r="I47" s="660">
        <f t="shared" ref="I47:I55" si="1">E47*H47</f>
        <v>12.760400000000001</v>
      </c>
    </row>
    <row r="48" spans="1:9" ht="15">
      <c r="A48" s="645"/>
      <c r="B48" s="646" t="s">
        <v>813</v>
      </c>
      <c r="C48" s="656"/>
      <c r="D48" s="636" t="s">
        <v>1304</v>
      </c>
      <c r="E48" s="648">
        <v>1.2</v>
      </c>
      <c r="F48" s="853"/>
      <c r="G48" s="998"/>
      <c r="H48" s="660">
        <v>2.5</v>
      </c>
      <c r="I48" s="660">
        <f t="shared" si="1"/>
        <v>3</v>
      </c>
    </row>
    <row r="49" spans="1:14" ht="15">
      <c r="A49" s="645"/>
      <c r="B49" s="646" t="s">
        <v>812</v>
      </c>
      <c r="C49" s="656"/>
      <c r="D49" s="636" t="s">
        <v>1304</v>
      </c>
      <c r="E49" s="648">
        <v>1.2</v>
      </c>
      <c r="F49" s="853"/>
      <c r="G49" s="998"/>
      <c r="H49" s="660">
        <v>2.5</v>
      </c>
      <c r="I49" s="660">
        <f t="shared" si="1"/>
        <v>3</v>
      </c>
    </row>
    <row r="50" spans="1:14" s="655" customFormat="1" ht="29.45" customHeight="1">
      <c r="A50" s="645"/>
      <c r="B50" s="646" t="s">
        <v>1307</v>
      </c>
      <c r="C50" s="656"/>
      <c r="D50" s="636" t="s">
        <v>1305</v>
      </c>
      <c r="E50" s="648">
        <v>0.12</v>
      </c>
      <c r="F50" s="853"/>
      <c r="G50" s="998"/>
      <c r="H50" s="660">
        <v>65</v>
      </c>
      <c r="I50" s="660">
        <f t="shared" si="1"/>
        <v>7.8</v>
      </c>
    </row>
    <row r="51" spans="1:14" s="655" customFormat="1" ht="38.25">
      <c r="A51" s="645"/>
      <c r="B51" s="646" t="s">
        <v>882</v>
      </c>
      <c r="C51" s="656"/>
      <c r="D51" s="636" t="s">
        <v>113</v>
      </c>
      <c r="E51" s="648">
        <v>1</v>
      </c>
      <c r="F51" s="853"/>
      <c r="G51" s="998"/>
      <c r="H51" s="660">
        <v>65</v>
      </c>
      <c r="I51" s="660">
        <f t="shared" si="1"/>
        <v>65</v>
      </c>
    </row>
    <row r="52" spans="1:14" s="655" customFormat="1" ht="50.25" customHeight="1">
      <c r="A52" s="645"/>
      <c r="B52" s="646" t="s">
        <v>817</v>
      </c>
      <c r="C52" s="656"/>
      <c r="D52" s="636" t="s">
        <v>1304</v>
      </c>
      <c r="E52" s="648">
        <v>0.1</v>
      </c>
      <c r="F52" s="853"/>
      <c r="G52" s="998"/>
      <c r="H52" s="660">
        <v>150</v>
      </c>
      <c r="I52" s="660">
        <f t="shared" si="1"/>
        <v>15</v>
      </c>
    </row>
    <row r="53" spans="1:14" s="655" customFormat="1" ht="41.45" customHeight="1">
      <c r="A53" s="645"/>
      <c r="B53" s="646" t="s">
        <v>881</v>
      </c>
      <c r="C53" s="656"/>
      <c r="D53" s="636" t="s">
        <v>113</v>
      </c>
      <c r="E53" s="648">
        <v>1</v>
      </c>
      <c r="F53" s="853"/>
      <c r="G53" s="998"/>
      <c r="H53" s="660">
        <v>108.2</v>
      </c>
      <c r="I53" s="660">
        <f t="shared" si="1"/>
        <v>108.2</v>
      </c>
    </row>
    <row r="54" spans="1:14" s="655" customFormat="1" ht="42.6" customHeight="1">
      <c r="A54" s="645"/>
      <c r="B54" s="646" t="s">
        <v>880</v>
      </c>
      <c r="C54" s="656"/>
      <c r="D54" s="636" t="s">
        <v>1305</v>
      </c>
      <c r="E54" s="648">
        <v>0.9</v>
      </c>
      <c r="F54" s="853"/>
      <c r="G54" s="998"/>
      <c r="H54" s="660">
        <v>32.799999999999997</v>
      </c>
      <c r="I54" s="660">
        <f t="shared" si="1"/>
        <v>29.52</v>
      </c>
    </row>
    <row r="55" spans="1:14" s="655" customFormat="1" ht="42.6" customHeight="1">
      <c r="A55" s="645"/>
      <c r="B55" s="646" t="s">
        <v>807</v>
      </c>
      <c r="C55" s="656"/>
      <c r="D55" s="636" t="s">
        <v>1305</v>
      </c>
      <c r="E55" s="648">
        <v>0.8</v>
      </c>
      <c r="F55" s="853"/>
      <c r="G55" s="998"/>
      <c r="H55" s="660">
        <v>8</v>
      </c>
      <c r="I55" s="660">
        <f t="shared" si="1"/>
        <v>6.4</v>
      </c>
    </row>
    <row r="56" spans="1:14">
      <c r="A56" s="636"/>
      <c r="B56" s="663" t="s">
        <v>879</v>
      </c>
      <c r="C56" s="656"/>
      <c r="D56" s="664" t="s">
        <v>93</v>
      </c>
      <c r="E56" s="665">
        <v>9</v>
      </c>
      <c r="F56" s="856"/>
      <c r="G56" s="1001">
        <f>ROUND(ROUND(E56,2)*ROUND(F56,2),2)</f>
        <v>0</v>
      </c>
      <c r="H56" s="666"/>
      <c r="I56" s="666">
        <f>SUM(I47:I55)</f>
        <v>250.68040000000002</v>
      </c>
      <c r="K56" s="667"/>
      <c r="M56" s="667"/>
      <c r="N56" s="668"/>
    </row>
    <row r="57" spans="1:14" ht="9" customHeight="1">
      <c r="A57" s="645"/>
      <c r="B57" s="646"/>
      <c r="C57" s="647"/>
      <c r="D57" s="636"/>
      <c r="E57" s="648"/>
      <c r="F57" s="853"/>
      <c r="G57" s="998"/>
      <c r="H57" s="660"/>
      <c r="I57" s="660"/>
    </row>
    <row r="58" spans="1:14" s="655" customFormat="1" ht="42" customHeight="1">
      <c r="A58" s="645">
        <f>A46+1</f>
        <v>21</v>
      </c>
      <c r="B58" s="669" t="s">
        <v>878</v>
      </c>
      <c r="C58" s="647"/>
      <c r="D58" s="636"/>
      <c r="E58" s="648"/>
      <c r="F58" s="853"/>
      <c r="G58" s="998"/>
      <c r="H58" s="660"/>
      <c r="I58" s="660"/>
    </row>
    <row r="59" spans="1:14" ht="40.9" customHeight="1">
      <c r="A59" s="670"/>
      <c r="B59" s="646" t="s">
        <v>877</v>
      </c>
      <c r="C59" s="647"/>
      <c r="D59" s="636" t="s">
        <v>1305</v>
      </c>
      <c r="E59" s="671">
        <v>0.51600000000000001</v>
      </c>
      <c r="F59" s="853"/>
      <c r="G59" s="998"/>
      <c r="H59" s="660">
        <v>7.6</v>
      </c>
      <c r="I59" s="660">
        <f t="shared" ref="I59:I68" si="2">E59*H59</f>
        <v>3.9215999999999998</v>
      </c>
    </row>
    <row r="60" spans="1:14" ht="15">
      <c r="A60" s="670"/>
      <c r="B60" s="646" t="s">
        <v>813</v>
      </c>
      <c r="C60" s="647"/>
      <c r="D60" s="636" t="s">
        <v>1304</v>
      </c>
      <c r="E60" s="671">
        <v>0.49</v>
      </c>
      <c r="F60" s="853"/>
      <c r="G60" s="998"/>
      <c r="H60" s="660">
        <v>2.5</v>
      </c>
      <c r="I60" s="660">
        <f t="shared" si="2"/>
        <v>1.2250000000000001</v>
      </c>
    </row>
    <row r="61" spans="1:14" ht="15">
      <c r="A61" s="670"/>
      <c r="B61" s="646" t="s">
        <v>812</v>
      </c>
      <c r="C61" s="647"/>
      <c r="D61" s="636" t="s">
        <v>1304</v>
      </c>
      <c r="E61" s="671">
        <v>0.49</v>
      </c>
      <c r="F61" s="853"/>
      <c r="G61" s="998"/>
      <c r="H61" s="660">
        <v>2.5</v>
      </c>
      <c r="I61" s="660">
        <f t="shared" si="2"/>
        <v>1.2250000000000001</v>
      </c>
    </row>
    <row r="62" spans="1:14" s="655" customFormat="1" ht="29.25" customHeight="1">
      <c r="A62" s="670"/>
      <c r="B62" s="646" t="s">
        <v>1307</v>
      </c>
      <c r="C62" s="647"/>
      <c r="D62" s="636" t="s">
        <v>1305</v>
      </c>
      <c r="E62" s="671">
        <v>0.1</v>
      </c>
      <c r="F62" s="853"/>
      <c r="G62" s="998"/>
      <c r="H62" s="660">
        <v>65</v>
      </c>
      <c r="I62" s="660">
        <f t="shared" si="2"/>
        <v>6.5</v>
      </c>
    </row>
    <row r="63" spans="1:14" s="655" customFormat="1" ht="28.15" customHeight="1">
      <c r="A63" s="670"/>
      <c r="B63" s="646" t="s">
        <v>876</v>
      </c>
      <c r="C63" s="647"/>
      <c r="D63" s="636" t="s">
        <v>113</v>
      </c>
      <c r="E63" s="671">
        <v>1</v>
      </c>
      <c r="F63" s="853"/>
      <c r="G63" s="998"/>
      <c r="H63" s="660">
        <v>16</v>
      </c>
      <c r="I63" s="660">
        <f t="shared" si="2"/>
        <v>16</v>
      </c>
    </row>
    <row r="64" spans="1:14" s="655" customFormat="1" ht="41.45" customHeight="1">
      <c r="A64" s="670"/>
      <c r="B64" s="646" t="s">
        <v>875</v>
      </c>
      <c r="C64" s="656"/>
      <c r="D64" s="636" t="s">
        <v>113</v>
      </c>
      <c r="E64" s="671">
        <v>1</v>
      </c>
      <c r="F64" s="853"/>
      <c r="G64" s="998"/>
      <c r="H64" s="660">
        <v>10</v>
      </c>
      <c r="I64" s="660">
        <f t="shared" si="2"/>
        <v>10</v>
      </c>
    </row>
    <row r="65" spans="1:13" s="655" customFormat="1" ht="42" customHeight="1">
      <c r="A65" s="670"/>
      <c r="B65" s="646" t="s">
        <v>817</v>
      </c>
      <c r="C65" s="647"/>
      <c r="D65" s="636" t="s">
        <v>1304</v>
      </c>
      <c r="E65" s="671">
        <v>0.1</v>
      </c>
      <c r="F65" s="853"/>
      <c r="G65" s="998"/>
      <c r="H65" s="660">
        <v>150</v>
      </c>
      <c r="I65" s="660">
        <f t="shared" si="2"/>
        <v>15</v>
      </c>
    </row>
    <row r="66" spans="1:13" s="655" customFormat="1" ht="41.45" customHeight="1">
      <c r="A66" s="670"/>
      <c r="B66" s="646" t="s">
        <v>874</v>
      </c>
      <c r="C66" s="647"/>
      <c r="D66" s="636" t="s">
        <v>113</v>
      </c>
      <c r="E66" s="671">
        <v>1</v>
      </c>
      <c r="F66" s="853"/>
      <c r="G66" s="998"/>
      <c r="H66" s="660">
        <v>83.1</v>
      </c>
      <c r="I66" s="660">
        <f t="shared" si="2"/>
        <v>83.1</v>
      </c>
    </row>
    <row r="67" spans="1:13" s="655" customFormat="1" ht="41.45" customHeight="1">
      <c r="A67" s="670"/>
      <c r="B67" s="646" t="s">
        <v>816</v>
      </c>
      <c r="C67" s="647"/>
      <c r="D67" s="636" t="s">
        <v>1305</v>
      </c>
      <c r="E67" s="671">
        <v>0.215</v>
      </c>
      <c r="F67" s="853"/>
      <c r="G67" s="998"/>
      <c r="H67" s="660">
        <v>32.799999999999997</v>
      </c>
      <c r="I67" s="660">
        <f t="shared" si="2"/>
        <v>7.0519999999999996</v>
      </c>
    </row>
    <row r="68" spans="1:13" s="655" customFormat="1" ht="42" customHeight="1">
      <c r="A68" s="670"/>
      <c r="B68" s="646" t="s">
        <v>807</v>
      </c>
      <c r="C68" s="647"/>
      <c r="D68" s="636" t="s">
        <v>1305</v>
      </c>
      <c r="E68" s="671">
        <v>0.30099999999999999</v>
      </c>
      <c r="F68" s="853"/>
      <c r="G68" s="998"/>
      <c r="H68" s="660">
        <v>8</v>
      </c>
      <c r="I68" s="660">
        <f t="shared" si="2"/>
        <v>2.4079999999999999</v>
      </c>
    </row>
    <row r="69" spans="1:13">
      <c r="A69" s="672"/>
      <c r="B69" s="673" t="s">
        <v>873</v>
      </c>
      <c r="C69" s="674"/>
      <c r="D69" s="675" t="s">
        <v>93</v>
      </c>
      <c r="E69" s="665">
        <v>3</v>
      </c>
      <c r="F69" s="856"/>
      <c r="G69" s="1001">
        <f>ROUND(ROUND(E69,2)*ROUND(F69,2),2)</f>
        <v>0</v>
      </c>
      <c r="H69" s="666"/>
      <c r="I69" s="666">
        <f>SUM(I59:I68)</f>
        <v>146.43159999999997</v>
      </c>
      <c r="J69" s="667"/>
      <c r="K69" s="676"/>
      <c r="L69" s="677"/>
      <c r="M69" s="668"/>
    </row>
    <row r="70" spans="1:13" ht="9" customHeight="1">
      <c r="A70" s="645"/>
      <c r="B70" s="646"/>
      <c r="C70" s="669"/>
      <c r="D70" s="636"/>
      <c r="E70" s="636"/>
      <c r="F70" s="861"/>
      <c r="G70" s="1002"/>
    </row>
    <row r="71" spans="1:13" s="655" customFormat="1" ht="29.45" customHeight="1">
      <c r="A71" s="645">
        <f>A58+1</f>
        <v>22</v>
      </c>
      <c r="B71" s="678" t="s">
        <v>872</v>
      </c>
      <c r="C71" s="647"/>
      <c r="D71" s="636"/>
      <c r="E71" s="636"/>
      <c r="F71" s="853"/>
      <c r="G71" s="998"/>
      <c r="H71" s="660"/>
      <c r="I71" s="660"/>
    </row>
    <row r="72" spans="1:13" ht="39.75" customHeight="1">
      <c r="A72" s="645"/>
      <c r="B72" s="678" t="s">
        <v>871</v>
      </c>
      <c r="C72" s="647"/>
      <c r="D72" s="636" t="s">
        <v>1305</v>
      </c>
      <c r="E72" s="648">
        <v>0.98799999999999999</v>
      </c>
      <c r="F72" s="853"/>
      <c r="G72" s="998"/>
      <c r="H72" s="660">
        <v>7.6</v>
      </c>
      <c r="I72" s="660">
        <f t="shared" ref="I72:I83" si="3">E72*H72</f>
        <v>7.5087999999999999</v>
      </c>
    </row>
    <row r="73" spans="1:13" ht="15">
      <c r="A73" s="645"/>
      <c r="B73" s="678" t="s">
        <v>813</v>
      </c>
      <c r="C73" s="647"/>
      <c r="D73" s="636" t="s">
        <v>1304</v>
      </c>
      <c r="E73" s="648">
        <v>0.81</v>
      </c>
      <c r="F73" s="853"/>
      <c r="G73" s="998"/>
      <c r="H73" s="660">
        <v>2.5</v>
      </c>
      <c r="I73" s="660">
        <f t="shared" si="3"/>
        <v>2.0250000000000004</v>
      </c>
      <c r="J73" s="660"/>
      <c r="K73" s="660"/>
    </row>
    <row r="74" spans="1:13" ht="15">
      <c r="A74" s="645"/>
      <c r="B74" s="678" t="s">
        <v>812</v>
      </c>
      <c r="C74" s="647"/>
      <c r="D74" s="636" t="s">
        <v>1304</v>
      </c>
      <c r="E74" s="648">
        <v>0.81</v>
      </c>
      <c r="F74" s="853"/>
      <c r="G74" s="998"/>
      <c r="H74" s="660">
        <v>2.5</v>
      </c>
      <c r="I74" s="660">
        <f t="shared" si="3"/>
        <v>2.0250000000000004</v>
      </c>
      <c r="J74" s="660"/>
      <c r="K74" s="660"/>
    </row>
    <row r="75" spans="1:13" s="655" customFormat="1" ht="29.25" customHeight="1">
      <c r="A75" s="645"/>
      <c r="B75" s="678" t="s">
        <v>1307</v>
      </c>
      <c r="C75" s="647"/>
      <c r="D75" s="636" t="s">
        <v>1305</v>
      </c>
      <c r="E75" s="648">
        <v>8.1000000000000003E-2</v>
      </c>
      <c r="F75" s="853"/>
      <c r="G75" s="998"/>
      <c r="H75" s="660">
        <v>65</v>
      </c>
      <c r="I75" s="660">
        <f t="shared" si="3"/>
        <v>5.2650000000000006</v>
      </c>
    </row>
    <row r="76" spans="1:13" s="655" customFormat="1" ht="15" customHeight="1">
      <c r="A76" s="645"/>
      <c r="B76" s="678" t="s">
        <v>811</v>
      </c>
      <c r="C76" s="647"/>
      <c r="D76" s="636" t="s">
        <v>1304</v>
      </c>
      <c r="E76" s="648">
        <v>3</v>
      </c>
      <c r="F76" s="853"/>
      <c r="G76" s="998"/>
      <c r="H76" s="660">
        <v>20</v>
      </c>
      <c r="I76" s="660">
        <f t="shared" si="3"/>
        <v>60</v>
      </c>
    </row>
    <row r="77" spans="1:13" s="655" customFormat="1" ht="29.25" customHeight="1">
      <c r="A77" s="645"/>
      <c r="B77" s="678" t="s">
        <v>864</v>
      </c>
      <c r="C77" s="647"/>
      <c r="D77" s="636" t="s">
        <v>116</v>
      </c>
      <c r="E77" s="648">
        <v>41.63</v>
      </c>
      <c r="F77" s="853"/>
      <c r="G77" s="998"/>
      <c r="H77" s="660">
        <v>1.4</v>
      </c>
      <c r="I77" s="660">
        <f t="shared" si="3"/>
        <v>58.281999999999996</v>
      </c>
    </row>
    <row r="78" spans="1:13" s="655" customFormat="1" ht="29.25" customHeight="1">
      <c r="A78" s="645"/>
      <c r="B78" s="678" t="s">
        <v>870</v>
      </c>
      <c r="C78" s="647"/>
      <c r="D78" s="636" t="s">
        <v>113</v>
      </c>
      <c r="E78" s="648">
        <v>4</v>
      </c>
      <c r="F78" s="853"/>
      <c r="G78" s="998"/>
      <c r="H78" s="660">
        <v>10</v>
      </c>
      <c r="I78" s="660">
        <f t="shared" si="3"/>
        <v>40</v>
      </c>
    </row>
    <row r="79" spans="1:13" s="655" customFormat="1" ht="29.25" customHeight="1">
      <c r="A79" s="645"/>
      <c r="B79" s="678" t="s">
        <v>1390</v>
      </c>
      <c r="C79" s="647"/>
      <c r="D79" s="636" t="s">
        <v>1305</v>
      </c>
      <c r="E79" s="648">
        <v>0.441</v>
      </c>
      <c r="F79" s="853"/>
      <c r="G79" s="998"/>
      <c r="H79" s="660">
        <v>85</v>
      </c>
      <c r="I79" s="660">
        <f t="shared" si="3"/>
        <v>37.484999999999999</v>
      </c>
    </row>
    <row r="80" spans="1:13" s="655" customFormat="1" ht="29.25" customHeight="1">
      <c r="A80" s="645"/>
      <c r="B80" s="678" t="s">
        <v>1387</v>
      </c>
      <c r="C80" s="647"/>
      <c r="D80" s="636" t="s">
        <v>93</v>
      </c>
      <c r="E80" s="648">
        <v>1</v>
      </c>
      <c r="F80" s="853"/>
      <c r="G80" s="998"/>
      <c r="H80" s="660">
        <v>8.6999999999999993</v>
      </c>
      <c r="I80" s="660">
        <f t="shared" si="3"/>
        <v>8.6999999999999993</v>
      </c>
    </row>
    <row r="81" spans="1:15" s="655" customFormat="1" ht="40.5" customHeight="1">
      <c r="A81" s="645"/>
      <c r="B81" s="678" t="s">
        <v>808</v>
      </c>
      <c r="C81" s="647"/>
      <c r="D81" s="636" t="s">
        <v>1305</v>
      </c>
      <c r="E81" s="648">
        <v>0.46600000000000003</v>
      </c>
      <c r="F81" s="853"/>
      <c r="G81" s="998"/>
      <c r="H81" s="660">
        <v>4.07</v>
      </c>
      <c r="I81" s="660">
        <f t="shared" si="3"/>
        <v>1.8966200000000002</v>
      </c>
    </row>
    <row r="82" spans="1:15" s="655" customFormat="1" ht="28.5" customHeight="1">
      <c r="A82" s="645"/>
      <c r="B82" s="678" t="s">
        <v>869</v>
      </c>
      <c r="C82" s="647"/>
      <c r="D82" s="636" t="s">
        <v>1305</v>
      </c>
      <c r="E82" s="648">
        <v>0.1</v>
      </c>
      <c r="F82" s="853"/>
      <c r="G82" s="998"/>
      <c r="H82" s="660">
        <v>40</v>
      </c>
      <c r="I82" s="660">
        <f t="shared" si="3"/>
        <v>4</v>
      </c>
    </row>
    <row r="83" spans="1:15" s="655" customFormat="1" ht="43.9" customHeight="1">
      <c r="A83" s="645"/>
      <c r="B83" s="646" t="s">
        <v>807</v>
      </c>
      <c r="C83" s="647"/>
      <c r="D83" s="636" t="s">
        <v>1305</v>
      </c>
      <c r="E83" s="648">
        <v>0.52200000000000002</v>
      </c>
      <c r="F83" s="853"/>
      <c r="G83" s="998"/>
      <c r="H83" s="660">
        <v>5.5</v>
      </c>
      <c r="I83" s="660">
        <f t="shared" si="3"/>
        <v>2.871</v>
      </c>
    </row>
    <row r="84" spans="1:15" ht="15" customHeight="1">
      <c r="A84" s="636"/>
      <c r="B84" s="663" t="s">
        <v>868</v>
      </c>
      <c r="C84" s="674"/>
      <c r="D84" s="664" t="s">
        <v>93</v>
      </c>
      <c r="E84" s="665">
        <v>7</v>
      </c>
      <c r="F84" s="868"/>
      <c r="G84" s="1001">
        <f>ROUND(ROUND(E84,2)*ROUND(F84,2),2)</f>
        <v>0</v>
      </c>
      <c r="H84" s="679"/>
      <c r="I84" s="679">
        <f>SUM(I72:I83)</f>
        <v>230.05842000000001</v>
      </c>
      <c r="J84" s="655"/>
      <c r="K84" s="667"/>
      <c r="L84" s="667"/>
      <c r="N84" s="667"/>
      <c r="O84" s="668"/>
    </row>
    <row r="85" spans="1:15" ht="9" customHeight="1">
      <c r="A85" s="645"/>
      <c r="B85" s="678"/>
      <c r="C85" s="647"/>
      <c r="D85" s="636"/>
      <c r="E85" s="648"/>
      <c r="F85" s="853"/>
      <c r="G85" s="998"/>
      <c r="H85" s="660"/>
      <c r="I85" s="660"/>
    </row>
    <row r="86" spans="1:15" s="655" customFormat="1" ht="27.75" customHeight="1">
      <c r="A86" s="645">
        <f>A71+1</f>
        <v>23</v>
      </c>
      <c r="B86" s="678" t="s">
        <v>867</v>
      </c>
      <c r="C86" s="647"/>
      <c r="D86" s="636"/>
      <c r="E86" s="636"/>
      <c r="F86" s="853"/>
      <c r="G86" s="998"/>
      <c r="H86" s="660"/>
      <c r="I86" s="660"/>
    </row>
    <row r="87" spans="1:15" ht="41.45" customHeight="1">
      <c r="A87" s="645"/>
      <c r="B87" s="678" t="s">
        <v>866</v>
      </c>
      <c r="C87" s="647"/>
      <c r="D87" s="636" t="s">
        <v>1305</v>
      </c>
      <c r="E87" s="649">
        <v>0.23100000000000001</v>
      </c>
      <c r="F87" s="853"/>
      <c r="G87" s="998"/>
      <c r="H87" s="660">
        <v>7.6</v>
      </c>
      <c r="I87" s="660">
        <f t="shared" ref="I87:I96" si="4">E87*H87</f>
        <v>1.7556</v>
      </c>
    </row>
    <row r="88" spans="1:15" ht="15">
      <c r="A88" s="645"/>
      <c r="B88" s="678" t="s">
        <v>813</v>
      </c>
      <c r="C88" s="647"/>
      <c r="D88" s="636" t="s">
        <v>1304</v>
      </c>
      <c r="E88" s="649">
        <v>0.32500000000000001</v>
      </c>
      <c r="F88" s="853"/>
      <c r="G88" s="998"/>
      <c r="H88" s="660">
        <v>2.5</v>
      </c>
      <c r="I88" s="660">
        <f t="shared" si="4"/>
        <v>0.8125</v>
      </c>
      <c r="J88" s="660"/>
      <c r="K88" s="660"/>
    </row>
    <row r="89" spans="1:15" ht="15">
      <c r="A89" s="645"/>
      <c r="B89" s="678" t="s">
        <v>812</v>
      </c>
      <c r="C89" s="647"/>
      <c r="D89" s="636" t="s">
        <v>1304</v>
      </c>
      <c r="E89" s="649">
        <v>0.32500000000000001</v>
      </c>
      <c r="F89" s="853"/>
      <c r="G89" s="998"/>
      <c r="H89" s="660">
        <v>2.5</v>
      </c>
      <c r="I89" s="660">
        <f t="shared" si="4"/>
        <v>0.8125</v>
      </c>
      <c r="J89" s="660"/>
      <c r="K89" s="660"/>
    </row>
    <row r="90" spans="1:15" s="655" customFormat="1" ht="28.5" customHeight="1">
      <c r="A90" s="645"/>
      <c r="B90" s="678" t="s">
        <v>1307</v>
      </c>
      <c r="C90" s="647"/>
      <c r="D90" s="636" t="s">
        <v>1305</v>
      </c>
      <c r="E90" s="649">
        <v>3.2500000000000001E-2</v>
      </c>
      <c r="F90" s="853"/>
      <c r="G90" s="998"/>
      <c r="H90" s="660">
        <v>65</v>
      </c>
      <c r="I90" s="660">
        <f t="shared" si="4"/>
        <v>2.1125000000000003</v>
      </c>
    </row>
    <row r="91" spans="1:15" s="655" customFormat="1" ht="15" customHeight="1">
      <c r="A91" s="645"/>
      <c r="B91" s="678" t="s">
        <v>811</v>
      </c>
      <c r="C91" s="647"/>
      <c r="D91" s="636" t="s">
        <v>1304</v>
      </c>
      <c r="E91" s="648">
        <v>1</v>
      </c>
      <c r="F91" s="853"/>
      <c r="G91" s="998"/>
      <c r="H91" s="660">
        <v>20</v>
      </c>
      <c r="I91" s="660">
        <f t="shared" si="4"/>
        <v>20</v>
      </c>
    </row>
    <row r="92" spans="1:15" s="655" customFormat="1" ht="27" customHeight="1">
      <c r="A92" s="645"/>
      <c r="B92" s="678" t="s">
        <v>1391</v>
      </c>
      <c r="C92" s="647"/>
      <c r="D92" s="636" t="s">
        <v>113</v>
      </c>
      <c r="E92" s="648">
        <v>1</v>
      </c>
      <c r="F92" s="853"/>
      <c r="G92" s="998"/>
      <c r="H92" s="660">
        <v>10</v>
      </c>
      <c r="I92" s="660">
        <f t="shared" si="4"/>
        <v>10</v>
      </c>
    </row>
    <row r="93" spans="1:15" s="655" customFormat="1" ht="29.25" customHeight="1">
      <c r="A93" s="645"/>
      <c r="B93" s="678" t="s">
        <v>1392</v>
      </c>
      <c r="C93" s="647"/>
      <c r="D93" s="636" t="s">
        <v>1305</v>
      </c>
      <c r="E93" s="649">
        <v>0.11600000000000001</v>
      </c>
      <c r="F93" s="853"/>
      <c r="G93" s="998"/>
      <c r="H93" s="660">
        <v>85</v>
      </c>
      <c r="I93" s="660">
        <f t="shared" si="4"/>
        <v>9.8600000000000012</v>
      </c>
    </row>
    <row r="94" spans="1:15" s="655" customFormat="1" ht="15" customHeight="1">
      <c r="A94" s="645"/>
      <c r="B94" s="678" t="s">
        <v>1388</v>
      </c>
      <c r="C94" s="647"/>
      <c r="D94" s="636" t="s">
        <v>824</v>
      </c>
      <c r="E94" s="680">
        <v>1</v>
      </c>
      <c r="F94" s="853"/>
      <c r="G94" s="998"/>
      <c r="H94" s="660">
        <v>5.72</v>
      </c>
      <c r="I94" s="660">
        <f t="shared" si="4"/>
        <v>5.72</v>
      </c>
    </row>
    <row r="95" spans="1:15" s="655" customFormat="1" ht="40.9" customHeight="1">
      <c r="A95" s="645"/>
      <c r="B95" s="678" t="s">
        <v>808</v>
      </c>
      <c r="C95" s="647"/>
      <c r="D95" s="636" t="s">
        <v>1305</v>
      </c>
      <c r="E95" s="649">
        <v>0.14799999999999999</v>
      </c>
      <c r="F95" s="853"/>
      <c r="G95" s="998"/>
      <c r="H95" s="660">
        <v>4.07</v>
      </c>
      <c r="I95" s="660">
        <f t="shared" si="4"/>
        <v>0.60236000000000001</v>
      </c>
    </row>
    <row r="96" spans="1:15" s="655" customFormat="1" ht="43.9" customHeight="1">
      <c r="A96" s="645"/>
      <c r="B96" s="646" t="s">
        <v>807</v>
      </c>
      <c r="C96" s="647"/>
      <c r="D96" s="636" t="s">
        <v>1305</v>
      </c>
      <c r="E96" s="649">
        <v>8.3000000000000004E-2</v>
      </c>
      <c r="F96" s="853"/>
      <c r="G96" s="998"/>
      <c r="H96" s="660">
        <v>5.5</v>
      </c>
      <c r="I96" s="660">
        <f t="shared" si="4"/>
        <v>0.45650000000000002</v>
      </c>
    </row>
    <row r="97" spans="1:15">
      <c r="A97" s="636"/>
      <c r="B97" s="663" t="s">
        <v>865</v>
      </c>
      <c r="C97" s="674"/>
      <c r="D97" s="664" t="s">
        <v>93</v>
      </c>
      <c r="E97" s="665">
        <v>6</v>
      </c>
      <c r="F97" s="868"/>
      <c r="G97" s="1001">
        <f>ROUND(ROUND(E97,2)*ROUND(F97,2),2)</f>
        <v>0</v>
      </c>
      <c r="H97" s="679"/>
      <c r="I97" s="679">
        <f>SUM(I87:I96)</f>
        <v>52.131959999999992</v>
      </c>
      <c r="J97" s="655"/>
      <c r="K97" s="667"/>
      <c r="L97" s="667"/>
      <c r="N97" s="667"/>
      <c r="O97" s="668"/>
    </row>
    <row r="98" spans="1:15" ht="9" customHeight="1">
      <c r="A98" s="645"/>
      <c r="B98" s="678"/>
      <c r="C98" s="647"/>
      <c r="D98" s="636"/>
      <c r="E98" s="648"/>
      <c r="F98" s="853"/>
      <c r="G98" s="998"/>
      <c r="H98" s="660"/>
      <c r="I98" s="660"/>
    </row>
    <row r="99" spans="1:15" s="655" customFormat="1" ht="29.45" customHeight="1">
      <c r="A99" s="645">
        <f>A86+1</f>
        <v>24</v>
      </c>
      <c r="B99" s="678" t="s">
        <v>1393</v>
      </c>
      <c r="C99" s="647"/>
      <c r="D99" s="636"/>
      <c r="E99" s="636"/>
      <c r="F99" s="853"/>
      <c r="G99" s="998"/>
      <c r="H99" s="660"/>
      <c r="I99" s="660"/>
    </row>
    <row r="100" spans="1:15" ht="39.75" customHeight="1">
      <c r="A100" s="645"/>
      <c r="B100" s="678" t="s">
        <v>1394</v>
      </c>
      <c r="C100" s="647"/>
      <c r="D100" s="636" t="s">
        <v>1305</v>
      </c>
      <c r="E100" s="648">
        <v>1.5</v>
      </c>
      <c r="F100" s="853"/>
      <c r="G100" s="998"/>
      <c r="H100" s="660">
        <v>7.6</v>
      </c>
      <c r="I100" s="660">
        <f t="shared" ref="I100:I110" si="5">E100*H100</f>
        <v>11.399999999999999</v>
      </c>
    </row>
    <row r="101" spans="1:15" ht="15">
      <c r="A101" s="645"/>
      <c r="B101" s="678" t="s">
        <v>813</v>
      </c>
      <c r="C101" s="647"/>
      <c r="D101" s="636" t="s">
        <v>1304</v>
      </c>
      <c r="E101" s="648">
        <v>1.2</v>
      </c>
      <c r="F101" s="853"/>
      <c r="G101" s="998"/>
      <c r="H101" s="660">
        <v>3.6</v>
      </c>
      <c r="I101" s="660">
        <f t="shared" si="5"/>
        <v>4.32</v>
      </c>
      <c r="J101" s="660"/>
      <c r="K101" s="660"/>
    </row>
    <row r="102" spans="1:15" ht="15">
      <c r="A102" s="645"/>
      <c r="B102" s="678" t="s">
        <v>812</v>
      </c>
      <c r="C102" s="647"/>
      <c r="D102" s="636" t="s">
        <v>1304</v>
      </c>
      <c r="E102" s="648">
        <v>1.2</v>
      </c>
      <c r="F102" s="853"/>
      <c r="G102" s="998"/>
      <c r="H102" s="660">
        <v>2.5</v>
      </c>
      <c r="I102" s="660">
        <f t="shared" si="5"/>
        <v>3</v>
      </c>
      <c r="J102" s="660"/>
      <c r="K102" s="660"/>
    </row>
    <row r="103" spans="1:15" s="655" customFormat="1" ht="28.5" customHeight="1">
      <c r="A103" s="645"/>
      <c r="B103" s="678" t="s">
        <v>1308</v>
      </c>
      <c r="C103" s="647"/>
      <c r="D103" s="636" t="s">
        <v>1305</v>
      </c>
      <c r="E103" s="649">
        <v>0.12</v>
      </c>
      <c r="F103" s="853"/>
      <c r="G103" s="998"/>
      <c r="H103" s="660">
        <v>65</v>
      </c>
      <c r="I103" s="660">
        <f t="shared" si="5"/>
        <v>7.8</v>
      </c>
    </row>
    <row r="104" spans="1:15" s="655" customFormat="1" ht="14.45" customHeight="1">
      <c r="A104" s="645"/>
      <c r="B104" s="678" t="s">
        <v>811</v>
      </c>
      <c r="C104" s="647"/>
      <c r="D104" s="636" t="s">
        <v>1304</v>
      </c>
      <c r="E104" s="648">
        <v>6.8</v>
      </c>
      <c r="F104" s="853"/>
      <c r="G104" s="998"/>
      <c r="H104" s="660">
        <v>25</v>
      </c>
      <c r="I104" s="660">
        <f t="shared" si="5"/>
        <v>170</v>
      </c>
    </row>
    <row r="105" spans="1:15" s="655" customFormat="1" ht="25.5">
      <c r="A105" s="645"/>
      <c r="B105" s="678" t="s">
        <v>864</v>
      </c>
      <c r="C105" s="647"/>
      <c r="D105" s="636" t="s">
        <v>116</v>
      </c>
      <c r="E105" s="648">
        <v>36.799999999999997</v>
      </c>
      <c r="F105" s="853"/>
      <c r="G105" s="998"/>
      <c r="H105" s="660">
        <v>2</v>
      </c>
      <c r="I105" s="660">
        <f t="shared" si="5"/>
        <v>73.599999999999994</v>
      </c>
    </row>
    <row r="106" spans="1:15" s="655" customFormat="1" ht="27" customHeight="1">
      <c r="A106" s="645"/>
      <c r="B106" s="678" t="s">
        <v>863</v>
      </c>
      <c r="C106" s="647"/>
      <c r="D106" s="636" t="s">
        <v>113</v>
      </c>
      <c r="E106" s="680">
        <v>14</v>
      </c>
      <c r="F106" s="853"/>
      <c r="G106" s="998"/>
      <c r="H106" s="660">
        <v>8</v>
      </c>
      <c r="I106" s="660">
        <f t="shared" si="5"/>
        <v>112</v>
      </c>
    </row>
    <row r="107" spans="1:15" s="655" customFormat="1" ht="28.5" customHeight="1">
      <c r="A107" s="645"/>
      <c r="B107" s="678" t="s">
        <v>1398</v>
      </c>
      <c r="C107" s="647"/>
      <c r="D107" s="636" t="s">
        <v>1305</v>
      </c>
      <c r="E107" s="649">
        <v>1.05</v>
      </c>
      <c r="F107" s="853"/>
      <c r="G107" s="998"/>
      <c r="H107" s="660">
        <v>100</v>
      </c>
      <c r="I107" s="660">
        <f t="shared" si="5"/>
        <v>105</v>
      </c>
    </row>
    <row r="108" spans="1:15" s="655" customFormat="1" ht="27" customHeight="1">
      <c r="A108" s="645"/>
      <c r="B108" s="678" t="s">
        <v>1389</v>
      </c>
      <c r="C108" s="647"/>
      <c r="D108" s="636" t="s">
        <v>824</v>
      </c>
      <c r="E108" s="680">
        <v>3</v>
      </c>
      <c r="F108" s="853"/>
      <c r="G108" s="998"/>
      <c r="H108" s="660">
        <v>6.41</v>
      </c>
      <c r="I108" s="660">
        <f t="shared" si="5"/>
        <v>19.23</v>
      </c>
    </row>
    <row r="109" spans="1:15" s="655" customFormat="1" ht="42" customHeight="1">
      <c r="A109" s="645"/>
      <c r="B109" s="678" t="s">
        <v>1396</v>
      </c>
      <c r="C109" s="647"/>
      <c r="D109" s="636" t="s">
        <v>824</v>
      </c>
      <c r="E109" s="680">
        <v>1</v>
      </c>
      <c r="F109" s="853"/>
      <c r="G109" s="998"/>
      <c r="H109" s="660">
        <v>32.5</v>
      </c>
      <c r="I109" s="660">
        <f t="shared" si="5"/>
        <v>32.5</v>
      </c>
    </row>
    <row r="110" spans="1:15" s="655" customFormat="1" ht="42" customHeight="1">
      <c r="A110" s="645"/>
      <c r="B110" s="678" t="s">
        <v>1397</v>
      </c>
      <c r="C110" s="647"/>
      <c r="D110" s="636" t="s">
        <v>824</v>
      </c>
      <c r="E110" s="680">
        <v>2</v>
      </c>
      <c r="F110" s="853"/>
      <c r="G110" s="998"/>
      <c r="H110" s="660">
        <v>8</v>
      </c>
      <c r="I110" s="660">
        <f t="shared" si="5"/>
        <v>16</v>
      </c>
    </row>
    <row r="111" spans="1:15" ht="38.25">
      <c r="A111" s="645"/>
      <c r="B111" s="678" t="s">
        <v>816</v>
      </c>
      <c r="C111" s="647"/>
      <c r="D111" s="636" t="s">
        <v>1305</v>
      </c>
      <c r="E111" s="649">
        <v>0.8</v>
      </c>
      <c r="F111" s="853"/>
      <c r="G111" s="998"/>
      <c r="H111" s="679"/>
      <c r="I111" s="679">
        <f>SUM(I100:I110)</f>
        <v>554.85</v>
      </c>
      <c r="J111" s="655"/>
      <c r="K111" s="667"/>
      <c r="L111" s="667"/>
      <c r="N111" s="667"/>
      <c r="O111" s="668"/>
    </row>
    <row r="112" spans="1:15" s="682" customFormat="1" ht="40.5" customHeight="1">
      <c r="A112" s="645"/>
      <c r="B112" s="646" t="s">
        <v>807</v>
      </c>
      <c r="C112" s="656"/>
      <c r="D112" s="636" t="s">
        <v>1305</v>
      </c>
      <c r="E112" s="649">
        <v>0.7</v>
      </c>
      <c r="F112" s="853"/>
      <c r="G112" s="998"/>
      <c r="H112" s="681"/>
      <c r="I112" s="681"/>
    </row>
    <row r="113" spans="1:9" s="655" customFormat="1" ht="28.5" customHeight="1">
      <c r="A113" s="636"/>
      <c r="B113" s="663" t="s">
        <v>1395</v>
      </c>
      <c r="C113" s="674"/>
      <c r="D113" s="664" t="s">
        <v>93</v>
      </c>
      <c r="E113" s="665">
        <v>1</v>
      </c>
      <c r="F113" s="856"/>
      <c r="G113" s="1001">
        <f>ROUND(ROUND(E113,2)*ROUND(F113,2),2)</f>
        <v>0</v>
      </c>
    </row>
    <row r="114" spans="1:9" s="655" customFormat="1" ht="18.75" customHeight="1">
      <c r="A114" s="645"/>
      <c r="B114" s="678"/>
      <c r="C114" s="647"/>
      <c r="D114" s="636"/>
      <c r="E114" s="648"/>
      <c r="F114" s="853"/>
      <c r="G114" s="1001"/>
    </row>
    <row r="115" spans="1:9" s="655" customFormat="1" ht="78" customHeight="1">
      <c r="A115" s="645">
        <f>A99+1</f>
        <v>25</v>
      </c>
      <c r="B115" s="646" t="s">
        <v>806</v>
      </c>
      <c r="C115" s="647"/>
      <c r="D115" s="636" t="s">
        <v>113</v>
      </c>
      <c r="E115" s="636">
        <v>2</v>
      </c>
      <c r="F115" s="853"/>
      <c r="G115" s="1001">
        <f t="shared" ref="G115" si="6">ROUND(ROUND(E115,2)*ROUND(F115,2),2)</f>
        <v>0</v>
      </c>
    </row>
    <row r="116" spans="1:9">
      <c r="A116" s="636"/>
      <c r="B116" s="656"/>
      <c r="C116" s="657"/>
      <c r="D116" s="636"/>
      <c r="E116" s="636"/>
      <c r="F116" s="853"/>
      <c r="G116" s="998"/>
      <c r="H116" s="655"/>
      <c r="I116" s="655"/>
    </row>
    <row r="117" spans="1:9" ht="15" customHeight="1" thickBot="1">
      <c r="A117" s="683" t="s">
        <v>805</v>
      </c>
      <c r="B117" s="684"/>
      <c r="C117" s="685"/>
      <c r="D117" s="686"/>
      <c r="E117" s="687"/>
      <c r="F117" s="869"/>
      <c r="G117" s="1003">
        <f>ROUND(SUM(G6:G115),1)</f>
        <v>0</v>
      </c>
      <c r="H117" s="688"/>
      <c r="I117" s="689"/>
    </row>
    <row r="118" spans="1:9">
      <c r="A118" s="690"/>
      <c r="B118" s="691"/>
      <c r="C118" s="692"/>
      <c r="D118" s="690"/>
      <c r="E118" s="690"/>
      <c r="F118" s="853"/>
      <c r="G118" s="998"/>
      <c r="H118" s="655"/>
      <c r="I118" s="655"/>
    </row>
    <row r="119" spans="1:9">
      <c r="A119" s="690"/>
      <c r="B119" s="693"/>
      <c r="C119" s="692"/>
      <c r="D119" s="690"/>
      <c r="E119" s="690"/>
      <c r="F119" s="853"/>
      <c r="G119" s="998"/>
      <c r="H119" s="655"/>
      <c r="I119" s="655"/>
    </row>
    <row r="120" spans="1:9">
      <c r="A120" s="655"/>
      <c r="B120" s="694"/>
      <c r="C120" s="695"/>
      <c r="D120" s="655"/>
      <c r="E120" s="655"/>
      <c r="F120" s="858"/>
      <c r="G120" s="1004"/>
      <c r="H120" s="655"/>
      <c r="I120" s="655"/>
    </row>
    <row r="121" spans="1:9">
      <c r="A121" s="655"/>
      <c r="B121" s="694"/>
      <c r="C121" s="695"/>
      <c r="D121" s="655"/>
      <c r="E121" s="655"/>
      <c r="F121" s="858"/>
      <c r="G121" s="1004"/>
      <c r="H121" s="655"/>
      <c r="I121" s="655"/>
    </row>
    <row r="122" spans="1:9">
      <c r="A122" s="655"/>
      <c r="B122" s="694"/>
      <c r="C122" s="695"/>
      <c r="D122" s="655"/>
      <c r="E122" s="655"/>
      <c r="F122" s="858"/>
      <c r="G122" s="1004"/>
      <c r="H122" s="655"/>
      <c r="I122" s="655"/>
    </row>
    <row r="123" spans="1:9">
      <c r="A123" s="655"/>
      <c r="B123" s="694"/>
      <c r="C123" s="695"/>
      <c r="D123" s="655"/>
      <c r="E123" s="655"/>
      <c r="F123" s="858"/>
      <c r="G123" s="1004"/>
      <c r="H123" s="655"/>
      <c r="I123" s="655"/>
    </row>
    <row r="124" spans="1:9">
      <c r="A124" s="655"/>
      <c r="B124" s="694"/>
      <c r="C124" s="695"/>
      <c r="D124" s="655"/>
      <c r="E124" s="655"/>
      <c r="F124" s="858"/>
      <c r="G124" s="1004"/>
      <c r="H124" s="655"/>
      <c r="I124" s="655"/>
    </row>
    <row r="125" spans="1:9">
      <c r="A125" s="655"/>
      <c r="B125" s="694"/>
      <c r="C125" s="695"/>
      <c r="D125" s="655"/>
      <c r="E125" s="655"/>
      <c r="F125" s="858"/>
      <c r="G125" s="1004"/>
      <c r="H125" s="655"/>
      <c r="I125" s="655"/>
    </row>
    <row r="126" spans="1:9">
      <c r="A126" s="655"/>
      <c r="B126" s="694"/>
      <c r="C126" s="695"/>
      <c r="D126" s="655"/>
      <c r="E126" s="655"/>
      <c r="F126" s="858"/>
      <c r="G126" s="1004"/>
      <c r="H126" s="655"/>
      <c r="I126" s="655"/>
    </row>
    <row r="127" spans="1:9">
      <c r="A127" s="655"/>
      <c r="B127" s="694"/>
      <c r="C127" s="695"/>
      <c r="D127" s="655"/>
      <c r="E127" s="655"/>
      <c r="F127" s="858"/>
      <c r="G127" s="1004"/>
      <c r="H127" s="655"/>
      <c r="I127" s="655"/>
    </row>
    <row r="128" spans="1:9">
      <c r="A128" s="655"/>
      <c r="B128" s="694"/>
      <c r="C128" s="695"/>
      <c r="D128" s="655"/>
      <c r="E128" s="655"/>
      <c r="F128" s="858"/>
      <c r="G128" s="1004"/>
      <c r="H128" s="655"/>
      <c r="I128" s="655"/>
    </row>
    <row r="129" spans="1:9">
      <c r="A129" s="655"/>
      <c r="B129" s="694"/>
      <c r="C129" s="695"/>
      <c r="D129" s="655"/>
      <c r="E129" s="655"/>
      <c r="F129" s="858"/>
      <c r="G129" s="1004"/>
      <c r="H129" s="655"/>
      <c r="I129" s="655"/>
    </row>
    <row r="130" spans="1:9">
      <c r="A130" s="655"/>
      <c r="B130" s="694"/>
      <c r="C130" s="695"/>
      <c r="D130" s="655"/>
      <c r="E130" s="655"/>
      <c r="F130" s="858"/>
      <c r="G130" s="1004"/>
      <c r="H130" s="655"/>
      <c r="I130" s="655"/>
    </row>
    <row r="131" spans="1:9">
      <c r="A131" s="655"/>
      <c r="B131" s="694"/>
      <c r="C131" s="695"/>
      <c r="D131" s="655"/>
      <c r="E131" s="655"/>
      <c r="F131" s="858"/>
      <c r="G131" s="1004"/>
      <c r="H131" s="655"/>
      <c r="I131" s="655"/>
    </row>
    <row r="132" spans="1:9">
      <c r="A132" s="655"/>
      <c r="B132" s="694"/>
      <c r="C132" s="695"/>
      <c r="D132" s="655"/>
      <c r="E132" s="655"/>
      <c r="F132" s="858"/>
      <c r="G132" s="1004"/>
      <c r="H132" s="655"/>
      <c r="I132" s="655"/>
    </row>
    <row r="133" spans="1:9">
      <c r="A133" s="655"/>
      <c r="B133" s="694"/>
      <c r="C133" s="695"/>
      <c r="D133" s="655"/>
      <c r="E133" s="655"/>
      <c r="F133" s="858"/>
      <c r="G133" s="1004"/>
      <c r="H133" s="655"/>
      <c r="I133" s="655"/>
    </row>
    <row r="134" spans="1:9">
      <c r="A134" s="655"/>
      <c r="B134" s="694"/>
      <c r="C134" s="695"/>
      <c r="D134" s="655"/>
      <c r="E134" s="655"/>
      <c r="F134" s="858"/>
      <c r="G134" s="1004"/>
      <c r="H134" s="655"/>
      <c r="I134" s="655"/>
    </row>
    <row r="135" spans="1:9">
      <c r="A135" s="655"/>
      <c r="B135" s="694"/>
      <c r="C135" s="695"/>
      <c r="D135" s="655"/>
      <c r="E135" s="655"/>
      <c r="F135" s="858"/>
      <c r="G135" s="1004"/>
      <c r="H135" s="655"/>
      <c r="I135" s="655"/>
    </row>
    <row r="136" spans="1:9">
      <c r="A136" s="655"/>
      <c r="B136" s="694"/>
      <c r="C136" s="695"/>
      <c r="D136" s="655"/>
      <c r="E136" s="655"/>
      <c r="F136" s="858"/>
      <c r="G136" s="1004"/>
      <c r="H136" s="655"/>
      <c r="I136" s="655"/>
    </row>
    <row r="137" spans="1:9">
      <c r="A137" s="655"/>
      <c r="B137" s="694"/>
      <c r="C137" s="695"/>
      <c r="D137" s="655"/>
      <c r="E137" s="655"/>
      <c r="F137" s="858"/>
      <c r="G137" s="1004"/>
      <c r="H137" s="655"/>
      <c r="I137" s="655"/>
    </row>
    <row r="138" spans="1:9">
      <c r="A138" s="655"/>
      <c r="B138" s="694"/>
      <c r="C138" s="695"/>
      <c r="D138" s="655"/>
      <c r="E138" s="655"/>
      <c r="F138" s="858"/>
      <c r="G138" s="1004"/>
      <c r="H138" s="655"/>
      <c r="I138" s="655"/>
    </row>
    <row r="139" spans="1:9">
      <c r="A139" s="655"/>
      <c r="B139" s="694"/>
      <c r="C139" s="695"/>
      <c r="D139" s="655"/>
      <c r="E139" s="655"/>
      <c r="F139" s="858"/>
      <c r="G139" s="1004"/>
      <c r="H139" s="655"/>
      <c r="I139" s="655"/>
    </row>
    <row r="140" spans="1:9">
      <c r="A140" s="655"/>
      <c r="B140" s="694"/>
      <c r="C140" s="695"/>
      <c r="D140" s="655"/>
      <c r="E140" s="655"/>
      <c r="F140" s="858"/>
      <c r="G140" s="1004"/>
      <c r="H140" s="655"/>
      <c r="I140" s="655"/>
    </row>
    <row r="141" spans="1:9">
      <c r="A141" s="655"/>
      <c r="B141" s="694"/>
      <c r="C141" s="695"/>
      <c r="D141" s="655"/>
      <c r="E141" s="655"/>
      <c r="F141" s="858"/>
      <c r="G141" s="1004"/>
      <c r="H141" s="655"/>
      <c r="I141" s="655"/>
    </row>
    <row r="142" spans="1:9">
      <c r="A142" s="655"/>
      <c r="B142" s="694"/>
      <c r="C142" s="695"/>
      <c r="D142" s="655"/>
      <c r="E142" s="655"/>
      <c r="F142" s="858"/>
      <c r="G142" s="1004"/>
      <c r="H142" s="655"/>
      <c r="I142" s="655"/>
    </row>
    <row r="143" spans="1:9">
      <c r="A143" s="655"/>
      <c r="B143" s="694"/>
      <c r="C143" s="695"/>
      <c r="D143" s="655"/>
      <c r="E143" s="655"/>
      <c r="F143" s="858"/>
      <c r="G143" s="1004"/>
      <c r="H143" s="655"/>
      <c r="I143" s="655"/>
    </row>
    <row r="144" spans="1:9">
      <c r="A144" s="655"/>
      <c r="B144" s="694"/>
      <c r="C144" s="695"/>
      <c r="D144" s="655"/>
      <c r="E144" s="655"/>
      <c r="F144" s="858"/>
      <c r="G144" s="1004"/>
      <c r="H144" s="655"/>
      <c r="I144" s="655"/>
    </row>
    <row r="145" spans="1:9">
      <c r="A145" s="655"/>
      <c r="B145" s="694"/>
      <c r="C145" s="695"/>
      <c r="D145" s="655"/>
      <c r="E145" s="655"/>
      <c r="F145" s="858"/>
      <c r="G145" s="1004"/>
      <c r="H145" s="655"/>
      <c r="I145" s="655"/>
    </row>
    <row r="146" spans="1:9">
      <c r="A146" s="655"/>
      <c r="B146" s="694"/>
      <c r="C146" s="695"/>
      <c r="D146" s="655"/>
      <c r="E146" s="655"/>
      <c r="F146" s="858"/>
      <c r="G146" s="1004"/>
      <c r="H146" s="655"/>
      <c r="I146" s="655"/>
    </row>
    <row r="147" spans="1:9">
      <c r="A147" s="655"/>
      <c r="B147" s="694"/>
      <c r="C147" s="695"/>
      <c r="D147" s="655"/>
      <c r="E147" s="655"/>
      <c r="F147" s="858"/>
      <c r="G147" s="1004"/>
      <c r="H147" s="655"/>
      <c r="I147" s="655"/>
    </row>
    <row r="148" spans="1:9">
      <c r="A148" s="655"/>
      <c r="B148" s="694"/>
      <c r="C148" s="695"/>
      <c r="D148" s="655"/>
      <c r="E148" s="655"/>
      <c r="F148" s="858"/>
      <c r="G148" s="1004"/>
      <c r="H148" s="655"/>
      <c r="I148" s="655"/>
    </row>
    <row r="149" spans="1:9">
      <c r="A149" s="655"/>
      <c r="B149" s="694"/>
      <c r="C149" s="695"/>
      <c r="D149" s="655"/>
      <c r="E149" s="655"/>
      <c r="F149" s="858"/>
      <c r="G149" s="1004"/>
      <c r="H149" s="655"/>
      <c r="I149" s="655"/>
    </row>
    <row r="150" spans="1:9">
      <c r="A150" s="655"/>
      <c r="B150" s="694"/>
      <c r="C150" s="695"/>
      <c r="D150" s="655"/>
      <c r="E150" s="655"/>
      <c r="F150" s="858"/>
      <c r="G150" s="1004"/>
      <c r="H150" s="655"/>
      <c r="I150" s="655"/>
    </row>
    <row r="151" spans="1:9">
      <c r="A151" s="655"/>
      <c r="B151" s="694"/>
      <c r="C151" s="695"/>
      <c r="D151" s="655"/>
      <c r="E151" s="655"/>
      <c r="F151" s="858"/>
      <c r="G151" s="1004"/>
      <c r="H151" s="655"/>
      <c r="I151" s="655"/>
    </row>
    <row r="152" spans="1:9">
      <c r="A152" s="655"/>
      <c r="B152" s="694"/>
      <c r="C152" s="695"/>
      <c r="D152" s="655"/>
      <c r="E152" s="655"/>
      <c r="F152" s="858"/>
      <c r="G152" s="1004"/>
      <c r="H152" s="655"/>
      <c r="I152" s="655"/>
    </row>
    <row r="153" spans="1:9">
      <c r="A153" s="655"/>
      <c r="B153" s="694"/>
      <c r="C153" s="695"/>
      <c r="D153" s="655"/>
      <c r="E153" s="655"/>
      <c r="F153" s="858"/>
      <c r="G153" s="1004"/>
      <c r="H153" s="655"/>
      <c r="I153" s="655"/>
    </row>
    <row r="154" spans="1:9">
      <c r="A154" s="655"/>
      <c r="B154" s="694"/>
      <c r="C154" s="695"/>
      <c r="D154" s="655"/>
      <c r="E154" s="655"/>
      <c r="F154" s="858"/>
      <c r="G154" s="1004"/>
      <c r="H154" s="655"/>
      <c r="I154" s="655"/>
    </row>
    <row r="155" spans="1:9">
      <c r="A155" s="655"/>
      <c r="B155" s="694"/>
      <c r="C155" s="695"/>
      <c r="D155" s="655"/>
      <c r="E155" s="655"/>
      <c r="F155" s="858"/>
      <c r="G155" s="1004"/>
      <c r="H155" s="655"/>
      <c r="I155" s="655"/>
    </row>
    <row r="156" spans="1:9">
      <c r="A156" s="655"/>
      <c r="B156" s="694"/>
      <c r="C156" s="695"/>
      <c r="D156" s="655"/>
      <c r="E156" s="655"/>
      <c r="F156" s="858"/>
      <c r="G156" s="1004"/>
      <c r="H156" s="655"/>
      <c r="I156" s="655"/>
    </row>
    <row r="157" spans="1:9">
      <c r="A157" s="655"/>
      <c r="B157" s="694"/>
      <c r="C157" s="695"/>
      <c r="D157" s="655"/>
      <c r="E157" s="655"/>
      <c r="F157" s="858"/>
      <c r="G157" s="1004"/>
      <c r="H157" s="655"/>
      <c r="I157" s="655"/>
    </row>
    <row r="158" spans="1:9">
      <c r="A158" s="655"/>
      <c r="B158" s="694"/>
      <c r="C158" s="695"/>
      <c r="D158" s="655"/>
      <c r="E158" s="655"/>
      <c r="F158" s="858"/>
      <c r="G158" s="1004"/>
      <c r="H158" s="655"/>
      <c r="I158" s="655"/>
    </row>
    <row r="159" spans="1:9">
      <c r="A159" s="655"/>
      <c r="B159" s="694"/>
      <c r="C159" s="695"/>
      <c r="D159" s="655"/>
      <c r="E159" s="655"/>
      <c r="F159" s="858"/>
      <c r="G159" s="1004"/>
      <c r="H159" s="655"/>
      <c r="I159" s="655"/>
    </row>
    <row r="160" spans="1:9">
      <c r="A160" s="655"/>
      <c r="B160" s="694"/>
      <c r="C160" s="695"/>
      <c r="D160" s="655"/>
      <c r="E160" s="655"/>
      <c r="F160" s="858"/>
      <c r="G160" s="1004"/>
      <c r="H160" s="655"/>
      <c r="I160" s="655"/>
    </row>
    <row r="161" spans="1:9">
      <c r="A161" s="655"/>
      <c r="B161" s="694"/>
      <c r="C161" s="695"/>
      <c r="D161" s="655"/>
      <c r="E161" s="655"/>
      <c r="F161" s="858"/>
      <c r="G161" s="1004"/>
      <c r="H161" s="655"/>
      <c r="I161" s="655"/>
    </row>
    <row r="162" spans="1:9">
      <c r="A162" s="655"/>
      <c r="B162" s="694"/>
      <c r="C162" s="695"/>
      <c r="D162" s="655"/>
      <c r="E162" s="655"/>
      <c r="F162" s="858"/>
      <c r="G162" s="1004"/>
      <c r="H162" s="655"/>
      <c r="I162" s="655"/>
    </row>
    <row r="163" spans="1:9">
      <c r="A163" s="655"/>
      <c r="B163" s="694"/>
      <c r="C163" s="695"/>
      <c r="D163" s="655"/>
      <c r="E163" s="655"/>
      <c r="F163" s="858"/>
      <c r="G163" s="1004"/>
      <c r="H163" s="655"/>
      <c r="I163" s="655"/>
    </row>
    <row r="164" spans="1:9">
      <c r="A164" s="655"/>
      <c r="B164" s="694"/>
      <c r="C164" s="695"/>
      <c r="D164" s="655"/>
      <c r="E164" s="655"/>
      <c r="F164" s="858"/>
      <c r="G164" s="1004"/>
      <c r="H164" s="655"/>
      <c r="I164" s="655"/>
    </row>
    <row r="165" spans="1:9">
      <c r="A165" s="655"/>
      <c r="B165" s="694"/>
      <c r="C165" s="695"/>
      <c r="D165" s="655"/>
      <c r="E165" s="655"/>
      <c r="F165" s="858"/>
      <c r="G165" s="1004"/>
      <c r="H165" s="655"/>
      <c r="I165" s="655"/>
    </row>
    <row r="166" spans="1:9">
      <c r="A166" s="655"/>
      <c r="B166" s="694"/>
      <c r="C166" s="695"/>
      <c r="D166" s="655"/>
      <c r="E166" s="655"/>
      <c r="F166" s="858"/>
      <c r="G166" s="1004"/>
      <c r="H166" s="655"/>
      <c r="I166" s="655"/>
    </row>
    <row r="167" spans="1:9">
      <c r="A167" s="655"/>
      <c r="B167" s="694"/>
      <c r="C167" s="695"/>
      <c r="D167" s="655"/>
      <c r="E167" s="655"/>
      <c r="F167" s="858"/>
      <c r="G167" s="1004"/>
      <c r="H167" s="655"/>
      <c r="I167" s="655"/>
    </row>
    <row r="168" spans="1:9">
      <c r="A168" s="655"/>
      <c r="B168" s="694"/>
      <c r="C168" s="695"/>
      <c r="D168" s="655"/>
      <c r="E168" s="655"/>
      <c r="F168" s="858"/>
      <c r="G168" s="1004"/>
      <c r="H168" s="655"/>
      <c r="I168" s="655"/>
    </row>
    <row r="169" spans="1:9">
      <c r="A169" s="655"/>
      <c r="B169" s="694"/>
      <c r="C169" s="695"/>
      <c r="D169" s="655"/>
      <c r="E169" s="655"/>
      <c r="F169" s="858"/>
      <c r="G169" s="1004"/>
      <c r="H169" s="655"/>
      <c r="I169" s="655"/>
    </row>
    <row r="170" spans="1:9">
      <c r="A170" s="655"/>
      <c r="B170" s="694"/>
      <c r="C170" s="695"/>
      <c r="D170" s="655"/>
      <c r="E170" s="655"/>
      <c r="F170" s="858"/>
      <c r="G170" s="1004"/>
      <c r="H170" s="655"/>
      <c r="I170" s="655"/>
    </row>
    <row r="171" spans="1:9">
      <c r="A171" s="655"/>
      <c r="B171" s="694"/>
      <c r="C171" s="695"/>
      <c r="D171" s="655"/>
      <c r="E171" s="655"/>
      <c r="F171" s="858"/>
      <c r="G171" s="1004"/>
      <c r="H171" s="655"/>
      <c r="I171" s="655"/>
    </row>
    <row r="172" spans="1:9">
      <c r="A172" s="655"/>
      <c r="B172" s="694"/>
      <c r="C172" s="695"/>
      <c r="D172" s="655"/>
      <c r="E172" s="655"/>
      <c r="F172" s="858"/>
      <c r="G172" s="1004"/>
      <c r="H172" s="655"/>
      <c r="I172" s="655"/>
    </row>
    <row r="173" spans="1:9">
      <c r="A173" s="655"/>
      <c r="B173" s="694"/>
      <c r="C173" s="695"/>
      <c r="D173" s="655"/>
      <c r="E173" s="655"/>
      <c r="F173" s="858"/>
      <c r="G173" s="1004"/>
      <c r="H173" s="655"/>
      <c r="I173" s="655"/>
    </row>
    <row r="174" spans="1:9">
      <c r="A174" s="655"/>
      <c r="B174" s="694"/>
      <c r="C174" s="695"/>
      <c r="D174" s="655"/>
      <c r="E174" s="655"/>
      <c r="F174" s="858"/>
      <c r="G174" s="1004"/>
      <c r="H174" s="655"/>
      <c r="I174" s="655"/>
    </row>
    <row r="175" spans="1:9">
      <c r="A175" s="655"/>
      <c r="B175" s="694"/>
      <c r="C175" s="695"/>
      <c r="D175" s="655"/>
      <c r="E175" s="655"/>
      <c r="F175" s="858"/>
      <c r="G175" s="1004"/>
      <c r="H175" s="655"/>
      <c r="I175" s="655"/>
    </row>
    <row r="176" spans="1:9">
      <c r="A176" s="655"/>
      <c r="B176" s="694"/>
      <c r="C176" s="695"/>
      <c r="D176" s="655"/>
      <c r="E176" s="655"/>
      <c r="F176" s="858"/>
      <c r="G176" s="1004"/>
      <c r="H176" s="655"/>
      <c r="I176" s="655"/>
    </row>
    <row r="177" spans="1:9">
      <c r="A177" s="655"/>
      <c r="B177" s="694"/>
      <c r="C177" s="695"/>
      <c r="D177" s="655"/>
      <c r="E177" s="655"/>
      <c r="F177" s="858"/>
      <c r="G177" s="1004"/>
      <c r="H177" s="655"/>
      <c r="I177" s="655"/>
    </row>
    <row r="178" spans="1:9">
      <c r="A178" s="655"/>
      <c r="B178" s="694"/>
      <c r="C178" s="695"/>
      <c r="D178" s="655"/>
      <c r="E178" s="655"/>
      <c r="F178" s="858"/>
      <c r="G178" s="1004"/>
      <c r="H178" s="655"/>
      <c r="I178" s="655"/>
    </row>
    <row r="179" spans="1:9">
      <c r="A179" s="655"/>
      <c r="B179" s="694"/>
      <c r="C179" s="695"/>
      <c r="D179" s="655"/>
      <c r="E179" s="655"/>
      <c r="F179" s="858"/>
      <c r="G179" s="1004"/>
      <c r="H179" s="655"/>
      <c r="I179" s="655"/>
    </row>
    <row r="180" spans="1:9">
      <c r="A180" s="655"/>
      <c r="B180" s="694"/>
      <c r="C180" s="695"/>
      <c r="D180" s="655"/>
      <c r="E180" s="655"/>
      <c r="F180" s="858"/>
      <c r="G180" s="1004"/>
      <c r="H180" s="655"/>
      <c r="I180" s="655"/>
    </row>
    <row r="181" spans="1:9">
      <c r="A181" s="655"/>
      <c r="B181" s="694"/>
      <c r="C181" s="695"/>
      <c r="D181" s="655"/>
      <c r="E181" s="655"/>
      <c r="F181" s="858"/>
      <c r="G181" s="1004"/>
      <c r="H181" s="655"/>
      <c r="I181" s="655"/>
    </row>
    <row r="182" spans="1:9">
      <c r="A182" s="655"/>
      <c r="B182" s="694"/>
      <c r="C182" s="695"/>
      <c r="D182" s="655"/>
      <c r="E182" s="655"/>
      <c r="F182" s="858"/>
      <c r="G182" s="1004"/>
      <c r="H182" s="655"/>
      <c r="I182" s="655"/>
    </row>
    <row r="183" spans="1:9">
      <c r="A183" s="655"/>
      <c r="B183" s="694"/>
      <c r="C183" s="695"/>
      <c r="D183" s="655"/>
      <c r="E183" s="655"/>
      <c r="F183" s="858"/>
      <c r="G183" s="1004"/>
      <c r="H183" s="655"/>
      <c r="I183" s="655"/>
    </row>
    <row r="184" spans="1:9">
      <c r="A184" s="655"/>
      <c r="B184" s="694"/>
      <c r="C184" s="695"/>
      <c r="D184" s="655"/>
      <c r="E184" s="655"/>
      <c r="F184" s="858"/>
      <c r="G184" s="1004"/>
      <c r="H184" s="655"/>
      <c r="I184" s="655"/>
    </row>
    <row r="185" spans="1:9">
      <c r="A185" s="655"/>
      <c r="B185" s="694"/>
      <c r="C185" s="695"/>
      <c r="D185" s="655"/>
      <c r="E185" s="655"/>
      <c r="F185" s="858"/>
      <c r="G185" s="1004"/>
      <c r="H185" s="655"/>
      <c r="I185" s="655"/>
    </row>
    <row r="186" spans="1:9">
      <c r="A186" s="655"/>
      <c r="B186" s="694"/>
      <c r="C186" s="695"/>
      <c r="D186" s="655"/>
      <c r="E186" s="655"/>
      <c r="F186" s="858"/>
      <c r="G186" s="1004"/>
      <c r="H186" s="655"/>
      <c r="I186" s="655"/>
    </row>
    <row r="187" spans="1:9">
      <c r="A187" s="655"/>
      <c r="B187" s="694"/>
      <c r="C187" s="695"/>
      <c r="D187" s="655"/>
      <c r="E187" s="655"/>
      <c r="F187" s="858"/>
      <c r="G187" s="1004"/>
      <c r="H187" s="655"/>
      <c r="I187" s="655"/>
    </row>
    <row r="188" spans="1:9">
      <c r="A188" s="655"/>
      <c r="B188" s="694"/>
      <c r="C188" s="695"/>
      <c r="D188" s="655"/>
      <c r="E188" s="655"/>
      <c r="F188" s="858"/>
      <c r="G188" s="1004"/>
      <c r="H188" s="655"/>
      <c r="I188" s="655"/>
    </row>
    <row r="189" spans="1:9">
      <c r="A189" s="655"/>
      <c r="B189" s="694"/>
      <c r="C189" s="695"/>
      <c r="D189" s="655"/>
      <c r="E189" s="655"/>
      <c r="F189" s="858"/>
      <c r="G189" s="1004"/>
      <c r="H189" s="655"/>
      <c r="I189" s="655"/>
    </row>
    <row r="190" spans="1:9">
      <c r="A190" s="655"/>
      <c r="B190" s="694"/>
      <c r="C190" s="695"/>
      <c r="D190" s="655"/>
      <c r="E190" s="655"/>
      <c r="F190" s="858"/>
      <c r="G190" s="1004"/>
      <c r="H190" s="655"/>
      <c r="I190" s="655"/>
    </row>
    <row r="191" spans="1:9">
      <c r="A191" s="655"/>
      <c r="B191" s="694"/>
      <c r="C191" s="695"/>
      <c r="D191" s="655"/>
      <c r="E191" s="655"/>
      <c r="F191" s="858"/>
      <c r="G191" s="1004"/>
      <c r="H191" s="655"/>
      <c r="I191" s="655"/>
    </row>
    <row r="192" spans="1:9">
      <c r="A192" s="655"/>
      <c r="B192" s="694"/>
      <c r="C192" s="695"/>
      <c r="D192" s="655"/>
      <c r="E192" s="655"/>
      <c r="F192" s="858"/>
      <c r="G192" s="1004"/>
      <c r="H192" s="655"/>
      <c r="I192" s="655"/>
    </row>
    <row r="193" spans="1:9">
      <c r="A193" s="655"/>
      <c r="B193" s="694"/>
      <c r="C193" s="695"/>
      <c r="D193" s="655"/>
      <c r="E193" s="655"/>
      <c r="F193" s="858"/>
      <c r="G193" s="1004"/>
      <c r="H193" s="655"/>
      <c r="I193" s="655"/>
    </row>
    <row r="194" spans="1:9">
      <c r="A194" s="655"/>
      <c r="B194" s="694"/>
      <c r="C194" s="695"/>
      <c r="D194" s="655"/>
      <c r="E194" s="655"/>
      <c r="F194" s="858"/>
      <c r="G194" s="1004"/>
      <c r="H194" s="655"/>
      <c r="I194" s="655"/>
    </row>
    <row r="195" spans="1:9">
      <c r="A195" s="655"/>
      <c r="B195" s="694"/>
      <c r="C195" s="695"/>
      <c r="D195" s="655"/>
      <c r="E195" s="655"/>
      <c r="F195" s="858"/>
      <c r="G195" s="1004"/>
      <c r="H195" s="655"/>
      <c r="I195" s="655"/>
    </row>
    <row r="196" spans="1:9">
      <c r="A196" s="655"/>
      <c r="B196" s="694"/>
      <c r="C196" s="695"/>
      <c r="D196" s="655"/>
      <c r="E196" s="655"/>
      <c r="F196" s="858"/>
      <c r="G196" s="1004"/>
      <c r="H196" s="655"/>
      <c r="I196" s="655"/>
    </row>
    <row r="197" spans="1:9">
      <c r="A197" s="655"/>
      <c r="B197" s="694"/>
      <c r="C197" s="695"/>
      <c r="D197" s="655"/>
      <c r="E197" s="655"/>
      <c r="F197" s="858"/>
      <c r="G197" s="1004"/>
      <c r="H197" s="655"/>
      <c r="I197" s="655"/>
    </row>
    <row r="198" spans="1:9">
      <c r="A198" s="655"/>
      <c r="B198" s="694"/>
      <c r="C198" s="695"/>
      <c r="D198" s="655"/>
      <c r="E198" s="655"/>
      <c r="F198" s="858"/>
      <c r="G198" s="1004"/>
      <c r="H198" s="655"/>
      <c r="I198" s="655"/>
    </row>
    <row r="199" spans="1:9">
      <c r="A199" s="655"/>
      <c r="B199" s="694"/>
      <c r="C199" s="695"/>
      <c r="D199" s="655"/>
      <c r="E199" s="655"/>
      <c r="F199" s="858"/>
      <c r="G199" s="1004"/>
      <c r="H199" s="655"/>
      <c r="I199" s="655"/>
    </row>
    <row r="200" spans="1:9">
      <c r="A200" s="655"/>
      <c r="B200" s="694"/>
      <c r="C200" s="695"/>
      <c r="D200" s="655"/>
      <c r="E200" s="655"/>
      <c r="F200" s="858"/>
      <c r="G200" s="1004"/>
      <c r="H200" s="655"/>
      <c r="I200" s="655"/>
    </row>
    <row r="201" spans="1:9">
      <c r="A201" s="655"/>
      <c r="B201" s="694"/>
      <c r="C201" s="695"/>
      <c r="D201" s="655"/>
      <c r="E201" s="655"/>
      <c r="F201" s="858"/>
      <c r="G201" s="1004"/>
      <c r="H201" s="655"/>
      <c r="I201" s="655"/>
    </row>
    <row r="202" spans="1:9">
      <c r="A202" s="655"/>
      <c r="B202" s="694"/>
      <c r="C202" s="695"/>
      <c r="D202" s="655"/>
      <c r="E202" s="655"/>
      <c r="F202" s="858"/>
      <c r="G202" s="1004"/>
      <c r="H202" s="655"/>
      <c r="I202" s="655"/>
    </row>
    <row r="203" spans="1:9">
      <c r="A203" s="655"/>
      <c r="B203" s="694"/>
      <c r="C203" s="695"/>
      <c r="D203" s="655"/>
      <c r="E203" s="655"/>
      <c r="F203" s="858"/>
      <c r="G203" s="1004"/>
      <c r="H203" s="655"/>
      <c r="I203" s="655"/>
    </row>
    <row r="204" spans="1:9">
      <c r="A204" s="655"/>
      <c r="B204" s="694"/>
      <c r="C204" s="695"/>
      <c r="D204" s="655"/>
      <c r="E204" s="655"/>
      <c r="F204" s="858"/>
      <c r="G204" s="1004"/>
      <c r="H204" s="655"/>
      <c r="I204" s="655"/>
    </row>
    <row r="205" spans="1:9">
      <c r="A205" s="655"/>
      <c r="B205" s="694"/>
      <c r="C205" s="695"/>
      <c r="D205" s="655"/>
      <c r="E205" s="655"/>
      <c r="F205" s="858"/>
      <c r="G205" s="1004"/>
      <c r="H205" s="655"/>
      <c r="I205" s="655"/>
    </row>
    <row r="206" spans="1:9">
      <c r="A206" s="655"/>
      <c r="B206" s="694"/>
      <c r="C206" s="695"/>
      <c r="D206" s="655"/>
      <c r="E206" s="655"/>
      <c r="F206" s="858"/>
      <c r="G206" s="1004"/>
      <c r="H206" s="655"/>
      <c r="I206" s="655"/>
    </row>
    <row r="207" spans="1:9">
      <c r="A207" s="655"/>
      <c r="B207" s="694"/>
      <c r="C207" s="695"/>
      <c r="D207" s="655"/>
      <c r="E207" s="655"/>
      <c r="F207" s="858"/>
      <c r="G207" s="1004"/>
      <c r="H207" s="655"/>
      <c r="I207" s="655"/>
    </row>
    <row r="208" spans="1:9">
      <c r="A208" s="655"/>
      <c r="B208" s="694"/>
      <c r="C208" s="695"/>
      <c r="D208" s="655"/>
      <c r="E208" s="655"/>
      <c r="F208" s="858"/>
      <c r="G208" s="1004"/>
      <c r="H208" s="655"/>
      <c r="I208" s="655"/>
    </row>
    <row r="209" spans="1:9">
      <c r="A209" s="655"/>
      <c r="B209" s="694"/>
      <c r="C209" s="695"/>
      <c r="D209" s="655"/>
      <c r="E209" s="655"/>
      <c r="F209" s="858"/>
      <c r="G209" s="1004"/>
      <c r="H209" s="655"/>
      <c r="I209" s="655"/>
    </row>
    <row r="210" spans="1:9">
      <c r="A210" s="655"/>
      <c r="B210" s="694"/>
      <c r="C210" s="695"/>
      <c r="D210" s="655"/>
      <c r="E210" s="655"/>
      <c r="F210" s="858"/>
      <c r="G210" s="1004"/>
      <c r="H210" s="655"/>
      <c r="I210" s="655"/>
    </row>
    <row r="211" spans="1:9">
      <c r="A211" s="655"/>
      <c r="B211" s="694"/>
      <c r="C211" s="695"/>
      <c r="D211" s="655"/>
      <c r="E211" s="655"/>
      <c r="F211" s="858"/>
      <c r="G211" s="1004"/>
      <c r="H211" s="655"/>
      <c r="I211" s="655"/>
    </row>
    <row r="212" spans="1:9">
      <c r="A212" s="655"/>
      <c r="B212" s="694"/>
      <c r="C212" s="695"/>
      <c r="D212" s="655"/>
      <c r="E212" s="655"/>
      <c r="F212" s="858"/>
      <c r="G212" s="1004"/>
      <c r="H212" s="655"/>
      <c r="I212" s="655"/>
    </row>
    <row r="213" spans="1:9">
      <c r="A213" s="655"/>
      <c r="B213" s="694"/>
      <c r="C213" s="695"/>
      <c r="D213" s="655"/>
      <c r="E213" s="655"/>
      <c r="F213" s="858"/>
      <c r="G213" s="1004"/>
      <c r="H213" s="655"/>
      <c r="I213" s="655"/>
    </row>
    <row r="214" spans="1:9">
      <c r="A214" s="655"/>
      <c r="B214" s="694"/>
      <c r="C214" s="695"/>
      <c r="D214" s="655"/>
      <c r="E214" s="655"/>
      <c r="F214" s="858"/>
      <c r="G214" s="1004"/>
      <c r="H214" s="655"/>
      <c r="I214" s="655"/>
    </row>
    <row r="215" spans="1:9">
      <c r="A215" s="655"/>
      <c r="B215" s="694"/>
      <c r="C215" s="695"/>
      <c r="D215" s="655"/>
      <c r="E215" s="655"/>
      <c r="F215" s="858"/>
      <c r="G215" s="1004"/>
      <c r="H215" s="655"/>
      <c r="I215" s="655"/>
    </row>
    <row r="216" spans="1:9">
      <c r="A216" s="655"/>
      <c r="B216" s="694"/>
      <c r="C216" s="695"/>
      <c r="D216" s="655"/>
      <c r="E216" s="655"/>
      <c r="F216" s="858"/>
      <c r="G216" s="1004"/>
      <c r="H216" s="655"/>
      <c r="I216" s="655"/>
    </row>
    <row r="217" spans="1:9">
      <c r="A217" s="655"/>
      <c r="B217" s="694"/>
      <c r="C217" s="695"/>
      <c r="D217" s="655"/>
      <c r="E217" s="655"/>
      <c r="F217" s="858"/>
      <c r="G217" s="1004"/>
      <c r="H217" s="655"/>
      <c r="I217" s="655"/>
    </row>
    <row r="218" spans="1:9">
      <c r="A218" s="655"/>
      <c r="B218" s="694"/>
      <c r="C218" s="695"/>
      <c r="D218" s="655"/>
      <c r="E218" s="655"/>
      <c r="F218" s="858"/>
      <c r="G218" s="1004"/>
      <c r="H218" s="655"/>
      <c r="I218" s="655"/>
    </row>
    <row r="219" spans="1:9">
      <c r="A219" s="655"/>
      <c r="B219" s="694"/>
      <c r="C219" s="695"/>
      <c r="D219" s="655"/>
      <c r="E219" s="655"/>
      <c r="F219" s="858"/>
      <c r="G219" s="1004"/>
      <c r="H219" s="655"/>
      <c r="I219" s="655"/>
    </row>
    <row r="220" spans="1:9">
      <c r="A220" s="655"/>
      <c r="B220" s="694"/>
      <c r="C220" s="695"/>
      <c r="D220" s="655"/>
      <c r="E220" s="655"/>
      <c r="F220" s="858"/>
      <c r="G220" s="1004"/>
      <c r="H220" s="655"/>
      <c r="I220" s="655"/>
    </row>
    <row r="221" spans="1:9">
      <c r="A221" s="655"/>
      <c r="B221" s="694"/>
      <c r="C221" s="695"/>
      <c r="D221" s="655"/>
      <c r="E221" s="655"/>
      <c r="F221" s="858"/>
      <c r="G221" s="1004"/>
      <c r="H221" s="655"/>
      <c r="I221" s="655"/>
    </row>
    <row r="222" spans="1:9">
      <c r="A222" s="655"/>
      <c r="B222" s="694"/>
      <c r="C222" s="695"/>
      <c r="D222" s="655"/>
      <c r="E222" s="655"/>
      <c r="F222" s="858"/>
      <c r="G222" s="1004"/>
      <c r="H222" s="655"/>
      <c r="I222" s="655"/>
    </row>
    <row r="223" spans="1:9">
      <c r="A223" s="655"/>
      <c r="B223" s="694"/>
      <c r="C223" s="695"/>
      <c r="D223" s="655"/>
      <c r="E223" s="655"/>
      <c r="F223" s="858"/>
      <c r="G223" s="1004"/>
      <c r="H223" s="655"/>
      <c r="I223" s="655"/>
    </row>
    <row r="224" spans="1:9">
      <c r="A224" s="655"/>
      <c r="B224" s="694"/>
      <c r="C224" s="695"/>
      <c r="D224" s="655"/>
      <c r="E224" s="655"/>
      <c r="F224" s="858"/>
      <c r="G224" s="1004"/>
      <c r="H224" s="655"/>
      <c r="I224" s="655"/>
    </row>
    <row r="225" spans="1:9">
      <c r="A225" s="655"/>
      <c r="B225" s="694"/>
      <c r="C225" s="695"/>
      <c r="D225" s="655"/>
      <c r="E225" s="655"/>
      <c r="F225" s="858"/>
      <c r="G225" s="1004"/>
      <c r="H225" s="655"/>
      <c r="I225" s="655"/>
    </row>
    <row r="226" spans="1:9">
      <c r="A226" s="655"/>
      <c r="B226" s="694"/>
      <c r="C226" s="695"/>
      <c r="D226" s="655"/>
      <c r="E226" s="655"/>
      <c r="F226" s="858"/>
      <c r="G226" s="1004"/>
      <c r="H226" s="655"/>
      <c r="I226" s="655"/>
    </row>
    <row r="227" spans="1:9">
      <c r="A227" s="655"/>
      <c r="B227" s="694"/>
      <c r="C227" s="695"/>
      <c r="D227" s="655"/>
      <c r="E227" s="655"/>
      <c r="F227" s="858"/>
      <c r="G227" s="1004"/>
      <c r="H227" s="655"/>
      <c r="I227" s="655"/>
    </row>
    <row r="228" spans="1:9">
      <c r="A228" s="655"/>
      <c r="B228" s="694"/>
      <c r="C228" s="695"/>
      <c r="D228" s="655"/>
      <c r="E228" s="655"/>
      <c r="F228" s="858"/>
      <c r="G228" s="1004"/>
      <c r="H228" s="655"/>
      <c r="I228" s="655"/>
    </row>
    <row r="229" spans="1:9">
      <c r="A229" s="655"/>
      <c r="B229" s="694"/>
      <c r="C229" s="695"/>
      <c r="D229" s="655"/>
      <c r="E229" s="655"/>
      <c r="F229" s="858"/>
      <c r="G229" s="1004"/>
      <c r="H229" s="655"/>
      <c r="I229" s="655"/>
    </row>
    <row r="230" spans="1:9">
      <c r="A230" s="655"/>
      <c r="B230" s="694"/>
      <c r="C230" s="695"/>
      <c r="D230" s="655"/>
      <c r="E230" s="655"/>
      <c r="F230" s="858"/>
      <c r="G230" s="1004"/>
      <c r="H230" s="655"/>
      <c r="I230" s="655"/>
    </row>
    <row r="231" spans="1:9">
      <c r="A231" s="655"/>
      <c r="B231" s="694"/>
      <c r="C231" s="695"/>
      <c r="D231" s="655"/>
      <c r="E231" s="655"/>
      <c r="F231" s="858"/>
      <c r="G231" s="1004"/>
      <c r="H231" s="655"/>
      <c r="I231" s="655"/>
    </row>
    <row r="232" spans="1:9">
      <c r="A232" s="655"/>
      <c r="B232" s="694"/>
      <c r="C232" s="695"/>
      <c r="D232" s="655"/>
      <c r="E232" s="655"/>
      <c r="F232" s="858"/>
      <c r="G232" s="1004"/>
      <c r="H232" s="655"/>
      <c r="I232" s="655"/>
    </row>
    <row r="233" spans="1:9">
      <c r="A233" s="655"/>
      <c r="B233" s="694"/>
      <c r="C233" s="695"/>
      <c r="D233" s="655"/>
      <c r="E233" s="655"/>
      <c r="F233" s="858"/>
      <c r="G233" s="1004"/>
      <c r="H233" s="655"/>
      <c r="I233" s="655"/>
    </row>
    <row r="234" spans="1:9">
      <c r="A234" s="655"/>
      <c r="B234" s="694"/>
      <c r="C234" s="695"/>
      <c r="D234" s="655"/>
      <c r="E234" s="655"/>
      <c r="F234" s="858"/>
      <c r="G234" s="1004"/>
      <c r="H234" s="655"/>
      <c r="I234" s="655"/>
    </row>
    <row r="235" spans="1:9">
      <c r="A235" s="655"/>
      <c r="B235" s="694"/>
      <c r="C235" s="695"/>
      <c r="D235" s="655"/>
      <c r="E235" s="655"/>
      <c r="F235" s="858"/>
      <c r="G235" s="1004"/>
      <c r="H235" s="655"/>
      <c r="I235" s="655"/>
    </row>
    <row r="236" spans="1:9">
      <c r="A236" s="655"/>
      <c r="B236" s="694"/>
      <c r="C236" s="695"/>
      <c r="D236" s="655"/>
      <c r="E236" s="655"/>
      <c r="F236" s="858"/>
      <c r="G236" s="1004"/>
      <c r="H236" s="655"/>
      <c r="I236" s="655"/>
    </row>
    <row r="237" spans="1:9">
      <c r="A237" s="655"/>
      <c r="B237" s="694"/>
      <c r="C237" s="695"/>
      <c r="D237" s="655"/>
      <c r="E237" s="655"/>
      <c r="F237" s="858"/>
      <c r="G237" s="1004"/>
      <c r="H237" s="655"/>
      <c r="I237" s="655"/>
    </row>
    <row r="238" spans="1:9">
      <c r="A238" s="655"/>
      <c r="B238" s="694"/>
      <c r="C238" s="695"/>
      <c r="D238" s="655"/>
      <c r="E238" s="655"/>
      <c r="F238" s="858"/>
      <c r="G238" s="1004"/>
      <c r="H238" s="655"/>
      <c r="I238" s="655"/>
    </row>
    <row r="239" spans="1:9">
      <c r="A239" s="655"/>
      <c r="B239" s="694"/>
      <c r="C239" s="695"/>
      <c r="D239" s="655"/>
      <c r="E239" s="655"/>
      <c r="F239" s="858"/>
      <c r="G239" s="1004"/>
      <c r="H239" s="655"/>
      <c r="I239" s="655"/>
    </row>
    <row r="240" spans="1:9">
      <c r="A240" s="655"/>
      <c r="B240" s="694"/>
      <c r="C240" s="695"/>
      <c r="D240" s="655"/>
      <c r="E240" s="655"/>
      <c r="F240" s="858"/>
      <c r="G240" s="1004"/>
      <c r="H240" s="655"/>
      <c r="I240" s="655"/>
    </row>
    <row r="241" spans="1:9">
      <c r="A241" s="655"/>
      <c r="B241" s="694"/>
      <c r="C241" s="695"/>
      <c r="D241" s="655"/>
      <c r="E241" s="655"/>
      <c r="F241" s="858"/>
      <c r="G241" s="1004"/>
      <c r="H241" s="655"/>
      <c r="I241" s="655"/>
    </row>
    <row r="242" spans="1:9">
      <c r="A242" s="655"/>
      <c r="B242" s="694"/>
      <c r="C242" s="695"/>
      <c r="D242" s="655"/>
      <c r="E242" s="655"/>
      <c r="F242" s="858"/>
      <c r="G242" s="1004"/>
      <c r="H242" s="655"/>
      <c r="I242" s="655"/>
    </row>
    <row r="243" spans="1:9">
      <c r="A243" s="655"/>
      <c r="B243" s="694"/>
      <c r="C243" s="695"/>
      <c r="D243" s="655"/>
      <c r="E243" s="655"/>
      <c r="F243" s="858"/>
      <c r="G243" s="1004"/>
      <c r="H243" s="655"/>
      <c r="I243" s="655"/>
    </row>
    <row r="244" spans="1:9">
      <c r="A244" s="655"/>
      <c r="B244" s="694"/>
      <c r="C244" s="695"/>
      <c r="D244" s="655"/>
      <c r="E244" s="655"/>
      <c r="F244" s="858"/>
      <c r="G244" s="1004"/>
      <c r="H244" s="655"/>
      <c r="I244" s="655"/>
    </row>
    <row r="245" spans="1:9">
      <c r="A245" s="655"/>
      <c r="B245" s="694"/>
      <c r="C245" s="695"/>
      <c r="D245" s="655"/>
      <c r="E245" s="655"/>
      <c r="F245" s="858"/>
      <c r="G245" s="1004"/>
      <c r="H245" s="655"/>
      <c r="I245" s="655"/>
    </row>
    <row r="246" spans="1:9">
      <c r="A246" s="655"/>
      <c r="B246" s="694"/>
      <c r="C246" s="695"/>
      <c r="D246" s="655"/>
      <c r="E246" s="655"/>
      <c r="F246" s="858"/>
      <c r="G246" s="1004"/>
      <c r="H246" s="655"/>
      <c r="I246" s="655"/>
    </row>
    <row r="247" spans="1:9">
      <c r="A247" s="655"/>
      <c r="B247" s="694"/>
      <c r="C247" s="695"/>
      <c r="D247" s="655"/>
      <c r="E247" s="655"/>
      <c r="F247" s="858"/>
      <c r="G247" s="1004"/>
      <c r="H247" s="655"/>
      <c r="I247" s="655"/>
    </row>
  </sheetData>
  <sheetProtection algorithmName="SHA-512" hashValue="56JVG003Wgm6giguIor6FMtnLELSo1AzwclbxXS0O13PDsILsoyPAL7QBzF+NvshAdThSrSS4guHF+6CqWWQjg==" saltValue="T2/IALBtjnqI8bskTdwIhw==" spinCount="100000" sheet="1" objects="1" scenarios="1" formatCells="0" formatColumns="0" formatRows="0"/>
  <pageMargins left="1.1023622047244095" right="0.51181102362204722" top="0.59055118110236227" bottom="0.39370078740157483" header="0.19685039370078741" footer="0.11811023622047245"/>
  <pageSetup paperSize="9" orientation="portrait" r:id="rId1"/>
  <headerFooter>
    <oddHeader>&amp;L&amp;"-,Običajno"&amp;8TEHNIČNO POROČILO TER POPIS DEL IN MATERIALA&amp;"Arial CE,Običajno"&amp;10
______________________________________________________________________________________
&amp;R&amp;"-,Običajno"&amp;8 19/&amp;P</oddHeader>
    <oddFooter xml:space="preserve">&amp;L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8"/>
  <sheetViews>
    <sheetView view="pageBreakPreview" zoomScale="125" zoomScaleNormal="100" zoomScaleSheetLayoutView="125" workbookViewId="0">
      <selection activeCell="G1" sqref="G1:G1048576"/>
    </sheetView>
  </sheetViews>
  <sheetFormatPr defaultColWidth="8.125" defaultRowHeight="14.25"/>
  <cols>
    <col min="1" max="1" width="2.875" style="644" customWidth="1"/>
    <col min="2" max="2" width="40.125" style="696" customWidth="1"/>
    <col min="3" max="3" width="0.625" style="697" customWidth="1"/>
    <col min="4" max="4" width="4.75" style="644" customWidth="1"/>
    <col min="5" max="5" width="6.375" style="644" customWidth="1"/>
    <col min="6" max="6" width="9.375" style="859" customWidth="1"/>
    <col min="7" max="7" width="10.625" style="1005" customWidth="1"/>
    <col min="8" max="8" width="8.125" style="644" hidden="1" customWidth="1"/>
    <col min="9" max="9" width="9.375" style="644" hidden="1" customWidth="1"/>
    <col min="10" max="16384" width="8.125" style="644"/>
  </cols>
  <sheetData>
    <row r="1" spans="1:9">
      <c r="A1" s="637" t="s">
        <v>96</v>
      </c>
      <c r="B1" s="793" t="s">
        <v>1450</v>
      </c>
      <c r="C1" s="639"/>
      <c r="D1" s="640"/>
      <c r="E1" s="641"/>
      <c r="F1" s="852"/>
      <c r="G1" s="997"/>
      <c r="I1" s="642"/>
    </row>
    <row r="2" spans="1:9">
      <c r="A2" s="637" t="s">
        <v>1448</v>
      </c>
      <c r="B2" s="793" t="s">
        <v>745</v>
      </c>
      <c r="C2" s="639"/>
      <c r="D2" s="640"/>
      <c r="E2" s="641"/>
      <c r="F2" s="852"/>
      <c r="G2" s="997"/>
      <c r="I2" s="642"/>
    </row>
    <row r="3" spans="1:9" ht="9" customHeight="1" thickBot="1">
      <c r="A3" s="645"/>
      <c r="B3" s="678"/>
      <c r="C3" s="647"/>
      <c r="D3" s="636"/>
      <c r="E3" s="636"/>
      <c r="F3" s="855"/>
      <c r="G3" s="1000"/>
      <c r="I3" s="650"/>
    </row>
    <row r="4" spans="1:9" s="655" customFormat="1" ht="12.75">
      <c r="A4" s="651" t="s">
        <v>850</v>
      </c>
      <c r="B4" s="635" t="s">
        <v>849</v>
      </c>
      <c r="C4" s="652"/>
      <c r="D4" s="653" t="s">
        <v>254</v>
      </c>
      <c r="E4" s="654" t="s">
        <v>848</v>
      </c>
      <c r="F4" s="854" t="s">
        <v>847</v>
      </c>
      <c r="G4" s="999" t="s">
        <v>846</v>
      </c>
      <c r="I4" s="650"/>
    </row>
    <row r="5" spans="1:9" ht="6.75" customHeight="1">
      <c r="A5" s="636"/>
      <c r="B5" s="656"/>
      <c r="C5" s="657"/>
      <c r="D5" s="636"/>
      <c r="E5" s="636"/>
      <c r="F5" s="853"/>
      <c r="G5" s="998"/>
      <c r="I5" s="650"/>
    </row>
    <row r="6" spans="1:9" ht="150" customHeight="1">
      <c r="A6" s="645">
        <v>1</v>
      </c>
      <c r="B6" s="646" t="s">
        <v>1315</v>
      </c>
      <c r="C6" s="647"/>
      <c r="D6" s="636"/>
      <c r="E6" s="636">
        <v>7</v>
      </c>
      <c r="F6" s="853"/>
      <c r="G6" s="998">
        <f>ROUND(ROUND(E6,2)*ROUND(F6,2),2)</f>
        <v>0</v>
      </c>
      <c r="I6" s="698"/>
    </row>
    <row r="7" spans="1:9" ht="9" customHeight="1">
      <c r="A7" s="645"/>
      <c r="B7" s="646"/>
      <c r="C7" s="646"/>
      <c r="D7" s="636"/>
      <c r="E7" s="636"/>
      <c r="F7" s="855"/>
      <c r="G7" s="998"/>
    </row>
    <row r="8" spans="1:9" ht="69.599999999999994" customHeight="1">
      <c r="A8" s="645">
        <f>A6+1</f>
        <v>2</v>
      </c>
      <c r="B8" s="646" t="s">
        <v>1316</v>
      </c>
      <c r="C8" s="647"/>
      <c r="D8" s="636" t="s">
        <v>113</v>
      </c>
      <c r="E8" s="636">
        <v>25</v>
      </c>
      <c r="F8" s="853"/>
      <c r="G8" s="998">
        <f t="shared" ref="G8:G18" si="0">ROUND(ROUND(E8,2)*ROUND(F8,2),2)</f>
        <v>0</v>
      </c>
    </row>
    <row r="9" spans="1:9" ht="43.15" customHeight="1">
      <c r="A9" s="699" t="s">
        <v>725</v>
      </c>
      <c r="B9" s="646" t="s">
        <v>1399</v>
      </c>
      <c r="C9" s="647"/>
      <c r="D9" s="636" t="s">
        <v>113</v>
      </c>
      <c r="E9" s="636">
        <v>2</v>
      </c>
      <c r="F9" s="853"/>
      <c r="G9" s="998">
        <f t="shared" si="0"/>
        <v>0</v>
      </c>
    </row>
    <row r="10" spans="1:9" ht="9" customHeight="1">
      <c r="A10" s="645"/>
      <c r="B10" s="646"/>
      <c r="C10" s="646"/>
      <c r="D10" s="636"/>
      <c r="E10" s="636"/>
      <c r="F10" s="855"/>
      <c r="G10" s="998"/>
    </row>
    <row r="11" spans="1:9" s="682" customFormat="1" ht="76.5" customHeight="1">
      <c r="A11" s="645">
        <f>A8+1</f>
        <v>3</v>
      </c>
      <c r="B11" s="646" t="s">
        <v>1317</v>
      </c>
      <c r="C11" s="647"/>
      <c r="D11" s="636" t="s">
        <v>113</v>
      </c>
      <c r="E11" s="636">
        <v>5</v>
      </c>
      <c r="F11" s="853"/>
      <c r="G11" s="998">
        <f t="shared" si="0"/>
        <v>0</v>
      </c>
      <c r="H11" s="700"/>
      <c r="I11" s="700"/>
    </row>
    <row r="12" spans="1:9" s="682" customFormat="1" ht="9" customHeight="1">
      <c r="A12" s="645"/>
      <c r="B12" s="678"/>
      <c r="C12" s="647"/>
      <c r="D12" s="636"/>
      <c r="E12" s="636"/>
      <c r="F12" s="853"/>
      <c r="G12" s="998"/>
    </row>
    <row r="13" spans="1:9" s="682" customFormat="1" ht="78" customHeight="1">
      <c r="A13" s="645">
        <f>A11+1</f>
        <v>4</v>
      </c>
      <c r="B13" s="646" t="s">
        <v>1318</v>
      </c>
      <c r="C13" s="647"/>
      <c r="D13" s="636" t="s">
        <v>824</v>
      </c>
      <c r="E13" s="636">
        <v>17</v>
      </c>
      <c r="F13" s="853"/>
      <c r="G13" s="998">
        <f t="shared" si="0"/>
        <v>0</v>
      </c>
      <c r="H13" s="700"/>
      <c r="I13" s="700"/>
    </row>
    <row r="14" spans="1:9" ht="43.15" customHeight="1">
      <c r="A14" s="699" t="s">
        <v>893</v>
      </c>
      <c r="B14" s="646" t="s">
        <v>892</v>
      </c>
      <c r="C14" s="647"/>
      <c r="D14" s="636" t="s">
        <v>113</v>
      </c>
      <c r="E14" s="636">
        <v>1</v>
      </c>
      <c r="F14" s="853"/>
      <c r="G14" s="998">
        <f t="shared" si="0"/>
        <v>0</v>
      </c>
    </row>
    <row r="15" spans="1:9" ht="43.15" customHeight="1">
      <c r="A15" s="699" t="s">
        <v>891</v>
      </c>
      <c r="B15" s="646" t="s">
        <v>890</v>
      </c>
      <c r="C15" s="647"/>
      <c r="D15" s="636" t="s">
        <v>113</v>
      </c>
      <c r="E15" s="636">
        <v>1</v>
      </c>
      <c r="F15" s="853"/>
      <c r="G15" s="998">
        <f t="shared" si="0"/>
        <v>0</v>
      </c>
    </row>
    <row r="16" spans="1:9" ht="9" customHeight="1">
      <c r="A16" s="645"/>
      <c r="B16" s="646"/>
      <c r="C16" s="646"/>
      <c r="D16" s="636"/>
      <c r="E16" s="636"/>
      <c r="F16" s="855"/>
      <c r="G16" s="998"/>
    </row>
    <row r="17" spans="1:9" ht="137.44999999999999" customHeight="1">
      <c r="A17" s="645">
        <f>A13+1</f>
        <v>5</v>
      </c>
      <c r="B17" s="701" t="s">
        <v>1319</v>
      </c>
      <c r="C17" s="647"/>
      <c r="D17" s="636" t="s">
        <v>113</v>
      </c>
      <c r="E17" s="672">
        <v>1</v>
      </c>
      <c r="F17" s="870"/>
      <c r="G17" s="998">
        <f t="shared" si="0"/>
        <v>0</v>
      </c>
      <c r="I17" s="702"/>
    </row>
    <row r="18" spans="1:9" ht="43.15" customHeight="1">
      <c r="A18" s="699" t="s">
        <v>746</v>
      </c>
      <c r="B18" s="646" t="s">
        <v>889</v>
      </c>
      <c r="C18" s="647"/>
      <c r="D18" s="636" t="s">
        <v>113</v>
      </c>
      <c r="E18" s="636">
        <v>1</v>
      </c>
      <c r="F18" s="853"/>
      <c r="G18" s="998">
        <f t="shared" si="0"/>
        <v>0</v>
      </c>
    </row>
    <row r="19" spans="1:9">
      <c r="A19" s="636"/>
      <c r="B19" s="656"/>
      <c r="C19" s="657"/>
      <c r="D19" s="636"/>
      <c r="E19" s="636"/>
      <c r="F19" s="853"/>
      <c r="G19" s="998"/>
      <c r="I19" s="702"/>
    </row>
    <row r="20" spans="1:9" ht="15" thickBot="1">
      <c r="A20" s="703" t="s">
        <v>805</v>
      </c>
      <c r="B20" s="704"/>
      <c r="C20" s="705"/>
      <c r="D20" s="706"/>
      <c r="E20" s="707"/>
      <c r="F20" s="857"/>
      <c r="G20" s="1006">
        <f>ROUND(SUM(G6:G18),1)</f>
        <v>0</v>
      </c>
      <c r="I20" s="702"/>
    </row>
    <row r="21" spans="1:9">
      <c r="A21" s="655"/>
      <c r="D21" s="655"/>
      <c r="E21" s="655"/>
      <c r="F21" s="858"/>
      <c r="G21" s="1004"/>
      <c r="I21" s="702"/>
    </row>
    <row r="22" spans="1:9">
      <c r="A22" s="655"/>
      <c r="D22" s="655"/>
      <c r="E22" s="655"/>
      <c r="F22" s="858"/>
      <c r="G22" s="1004"/>
      <c r="I22" s="655"/>
    </row>
    <row r="23" spans="1:9">
      <c r="A23" s="655"/>
      <c r="D23" s="655"/>
      <c r="E23" s="655"/>
      <c r="F23" s="858"/>
      <c r="G23" s="1004"/>
      <c r="I23" s="655"/>
    </row>
    <row r="24" spans="1:9">
      <c r="A24" s="655"/>
      <c r="D24" s="655"/>
      <c r="E24" s="655"/>
      <c r="F24" s="858"/>
      <c r="G24" s="1004"/>
      <c r="I24" s="655"/>
    </row>
    <row r="25" spans="1:9">
      <c r="A25" s="655"/>
      <c r="D25" s="655"/>
      <c r="E25" s="655"/>
      <c r="F25" s="858"/>
      <c r="G25" s="1004"/>
      <c r="I25" s="655"/>
    </row>
    <row r="26" spans="1:9">
      <c r="A26" s="655"/>
      <c r="D26" s="655"/>
      <c r="E26" s="655"/>
      <c r="F26" s="858"/>
      <c r="G26" s="1004"/>
      <c r="I26" s="655"/>
    </row>
    <row r="27" spans="1:9">
      <c r="A27" s="655"/>
      <c r="D27" s="655"/>
      <c r="E27" s="655"/>
      <c r="F27" s="858"/>
      <c r="G27" s="1004"/>
      <c r="I27" s="655"/>
    </row>
    <row r="28" spans="1:9">
      <c r="A28" s="655"/>
      <c r="D28" s="655"/>
      <c r="E28" s="655"/>
      <c r="F28" s="858"/>
      <c r="G28" s="1004"/>
      <c r="I28" s="655"/>
    </row>
    <row r="29" spans="1:9">
      <c r="A29" s="655"/>
      <c r="D29" s="655"/>
      <c r="E29" s="655"/>
      <c r="F29" s="858"/>
      <c r="G29" s="1004"/>
      <c r="I29" s="655"/>
    </row>
    <row r="30" spans="1:9">
      <c r="A30" s="655"/>
      <c r="D30" s="655"/>
      <c r="E30" s="655"/>
      <c r="F30" s="858"/>
      <c r="G30" s="1004"/>
      <c r="I30" s="655"/>
    </row>
    <row r="31" spans="1:9">
      <c r="A31" s="655"/>
      <c r="D31" s="655"/>
      <c r="E31" s="655"/>
      <c r="F31" s="858"/>
      <c r="G31" s="1004"/>
      <c r="I31" s="655"/>
    </row>
    <row r="32" spans="1:9">
      <c r="A32" s="655"/>
      <c r="D32" s="655"/>
      <c r="E32" s="655"/>
      <c r="F32" s="858"/>
      <c r="G32" s="1004"/>
      <c r="I32" s="655"/>
    </row>
    <row r="33" spans="1:9">
      <c r="A33" s="655"/>
      <c r="D33" s="655"/>
      <c r="E33" s="655"/>
      <c r="F33" s="858"/>
      <c r="G33" s="1004"/>
      <c r="I33" s="655"/>
    </row>
    <row r="34" spans="1:9">
      <c r="A34" s="655"/>
      <c r="D34" s="655"/>
      <c r="E34" s="655"/>
      <c r="F34" s="858"/>
      <c r="G34" s="1004"/>
      <c r="I34" s="655"/>
    </row>
    <row r="35" spans="1:9">
      <c r="A35" s="655"/>
      <c r="D35" s="655"/>
      <c r="E35" s="655"/>
      <c r="F35" s="858"/>
      <c r="G35" s="1004"/>
      <c r="I35" s="655"/>
    </row>
    <row r="36" spans="1:9">
      <c r="A36" s="655"/>
      <c r="D36" s="655"/>
      <c r="E36" s="655"/>
      <c r="F36" s="858"/>
      <c r="G36" s="1004"/>
      <c r="I36" s="655"/>
    </row>
    <row r="37" spans="1:9">
      <c r="A37" s="655"/>
      <c r="D37" s="655"/>
      <c r="E37" s="655"/>
      <c r="F37" s="858"/>
      <c r="G37" s="1004"/>
      <c r="I37" s="655"/>
    </row>
    <row r="38" spans="1:9">
      <c r="A38" s="655"/>
      <c r="D38" s="655"/>
      <c r="E38" s="655"/>
      <c r="F38" s="858"/>
      <c r="G38" s="1004"/>
      <c r="I38" s="655"/>
    </row>
    <row r="39" spans="1:9">
      <c r="A39" s="655"/>
      <c r="D39" s="655"/>
      <c r="E39" s="655"/>
      <c r="F39" s="858"/>
      <c r="G39" s="1004"/>
      <c r="I39" s="655"/>
    </row>
    <row r="40" spans="1:9">
      <c r="A40" s="655"/>
      <c r="D40" s="655"/>
      <c r="E40" s="655"/>
      <c r="F40" s="858"/>
      <c r="G40" s="1004"/>
      <c r="I40" s="655"/>
    </row>
    <row r="41" spans="1:9">
      <c r="A41" s="655"/>
      <c r="D41" s="655"/>
      <c r="E41" s="655"/>
      <c r="F41" s="858"/>
      <c r="G41" s="1004"/>
      <c r="I41" s="655"/>
    </row>
    <row r="42" spans="1:9">
      <c r="A42" s="655"/>
      <c r="D42" s="655"/>
      <c r="E42" s="655"/>
      <c r="F42" s="858"/>
      <c r="G42" s="1004"/>
      <c r="I42" s="655"/>
    </row>
    <row r="43" spans="1:9">
      <c r="A43" s="655"/>
      <c r="D43" s="655"/>
      <c r="E43" s="655"/>
      <c r="F43" s="858"/>
      <c r="G43" s="1004"/>
      <c r="I43" s="655"/>
    </row>
    <row r="44" spans="1:9">
      <c r="A44" s="655"/>
      <c r="D44" s="655"/>
      <c r="E44" s="655"/>
      <c r="F44" s="858"/>
      <c r="G44" s="1004"/>
      <c r="I44" s="655"/>
    </row>
    <row r="45" spans="1:9">
      <c r="A45" s="655"/>
      <c r="D45" s="655"/>
      <c r="E45" s="655"/>
      <c r="F45" s="858"/>
      <c r="G45" s="1004"/>
      <c r="I45" s="655"/>
    </row>
    <row r="46" spans="1:9">
      <c r="A46" s="655"/>
      <c r="D46" s="655"/>
      <c r="E46" s="655"/>
      <c r="F46" s="858"/>
      <c r="G46" s="1004"/>
      <c r="I46" s="655"/>
    </row>
    <row r="47" spans="1:9">
      <c r="A47" s="655"/>
      <c r="D47" s="655"/>
      <c r="E47" s="655"/>
      <c r="F47" s="858"/>
      <c r="G47" s="1004"/>
      <c r="I47" s="655"/>
    </row>
    <row r="48" spans="1:9">
      <c r="A48" s="655"/>
      <c r="D48" s="655"/>
      <c r="E48" s="655"/>
      <c r="F48" s="858"/>
      <c r="G48" s="1004"/>
      <c r="I48" s="655"/>
    </row>
    <row r="49" spans="1:9">
      <c r="A49" s="655"/>
      <c r="D49" s="655"/>
      <c r="E49" s="655"/>
      <c r="F49" s="858"/>
      <c r="G49" s="1004"/>
      <c r="I49" s="655"/>
    </row>
    <row r="50" spans="1:9">
      <c r="A50" s="655"/>
      <c r="D50" s="655"/>
      <c r="E50" s="655"/>
      <c r="F50" s="858"/>
      <c r="G50" s="1004"/>
      <c r="I50" s="655"/>
    </row>
    <row r="51" spans="1:9">
      <c r="A51" s="655"/>
      <c r="D51" s="655"/>
      <c r="E51" s="655"/>
      <c r="F51" s="858"/>
      <c r="G51" s="1004"/>
      <c r="I51" s="655"/>
    </row>
    <row r="52" spans="1:9">
      <c r="A52" s="655"/>
      <c r="D52" s="655"/>
      <c r="E52" s="655"/>
      <c r="F52" s="858"/>
      <c r="G52" s="1004"/>
      <c r="I52" s="655"/>
    </row>
    <row r="53" spans="1:9">
      <c r="A53" s="655"/>
      <c r="D53" s="655"/>
      <c r="E53" s="655"/>
      <c r="F53" s="858"/>
      <c r="G53" s="1004"/>
      <c r="I53" s="655"/>
    </row>
    <row r="54" spans="1:9">
      <c r="A54" s="655"/>
      <c r="D54" s="655"/>
      <c r="E54" s="655"/>
      <c r="F54" s="858"/>
      <c r="G54" s="1004"/>
      <c r="I54" s="655"/>
    </row>
    <row r="55" spans="1:9">
      <c r="A55" s="655"/>
      <c r="D55" s="655"/>
      <c r="E55" s="655"/>
      <c r="F55" s="858"/>
      <c r="G55" s="1004"/>
      <c r="I55" s="655"/>
    </row>
    <row r="56" spans="1:9">
      <c r="A56" s="655"/>
      <c r="D56" s="655"/>
      <c r="E56" s="655"/>
      <c r="F56" s="858"/>
      <c r="G56" s="1004"/>
      <c r="I56" s="655"/>
    </row>
    <row r="57" spans="1:9">
      <c r="A57" s="655"/>
      <c r="D57" s="655"/>
      <c r="E57" s="655"/>
      <c r="F57" s="858"/>
      <c r="G57" s="1004"/>
      <c r="I57" s="655"/>
    </row>
    <row r="58" spans="1:9">
      <c r="A58" s="655"/>
      <c r="D58" s="655"/>
      <c r="E58" s="655"/>
      <c r="F58" s="858"/>
      <c r="G58" s="1004"/>
      <c r="I58" s="655"/>
    </row>
    <row r="59" spans="1:9">
      <c r="A59" s="655"/>
      <c r="D59" s="655"/>
      <c r="E59" s="655"/>
      <c r="F59" s="858"/>
      <c r="G59" s="1004"/>
      <c r="I59" s="655"/>
    </row>
    <row r="60" spans="1:9">
      <c r="A60" s="655"/>
      <c r="D60" s="655"/>
      <c r="E60" s="655"/>
      <c r="F60" s="858"/>
      <c r="G60" s="1004"/>
      <c r="I60" s="655"/>
    </row>
    <row r="61" spans="1:9">
      <c r="A61" s="655"/>
      <c r="D61" s="655"/>
      <c r="E61" s="655"/>
      <c r="F61" s="858"/>
      <c r="G61" s="1004"/>
      <c r="I61" s="655"/>
    </row>
    <row r="62" spans="1:9">
      <c r="A62" s="655"/>
      <c r="D62" s="655"/>
      <c r="E62" s="655"/>
      <c r="F62" s="858"/>
      <c r="G62" s="1004"/>
      <c r="I62" s="655"/>
    </row>
    <row r="63" spans="1:9">
      <c r="A63" s="655"/>
      <c r="D63" s="655"/>
      <c r="E63" s="655"/>
      <c r="F63" s="858"/>
      <c r="G63" s="1004"/>
      <c r="I63" s="655"/>
    </row>
    <row r="64" spans="1:9">
      <c r="A64" s="655"/>
      <c r="D64" s="655"/>
      <c r="E64" s="655"/>
      <c r="F64" s="858"/>
      <c r="G64" s="1004"/>
      <c r="I64" s="655"/>
    </row>
    <row r="65" spans="1:9">
      <c r="A65" s="655"/>
      <c r="D65" s="655"/>
      <c r="E65" s="655"/>
      <c r="F65" s="858"/>
      <c r="G65" s="1004"/>
      <c r="I65" s="655"/>
    </row>
    <row r="66" spans="1:9" ht="52.5" customHeight="1">
      <c r="A66" s="655"/>
      <c r="D66" s="655"/>
      <c r="E66" s="655"/>
      <c r="F66" s="858"/>
      <c r="G66" s="1004"/>
      <c r="I66" s="655"/>
    </row>
    <row r="67" spans="1:9">
      <c r="A67" s="655"/>
      <c r="D67" s="655"/>
      <c r="E67" s="655"/>
      <c r="F67" s="858"/>
      <c r="G67" s="1004"/>
      <c r="I67" s="655"/>
    </row>
    <row r="68" spans="1:9">
      <c r="A68" s="655"/>
      <c r="D68" s="655"/>
      <c r="E68" s="655"/>
      <c r="F68" s="858"/>
      <c r="G68" s="1004"/>
      <c r="I68" s="655"/>
    </row>
    <row r="69" spans="1:9">
      <c r="A69" s="655"/>
      <c r="D69" s="655"/>
      <c r="E69" s="655"/>
      <c r="F69" s="858"/>
      <c r="G69" s="1004"/>
      <c r="I69" s="655"/>
    </row>
    <row r="70" spans="1:9">
      <c r="A70" s="655"/>
      <c r="D70" s="655"/>
      <c r="E70" s="655"/>
      <c r="F70" s="858"/>
      <c r="G70" s="1004"/>
      <c r="I70" s="655"/>
    </row>
    <row r="71" spans="1:9">
      <c r="A71" s="655"/>
      <c r="D71" s="655"/>
      <c r="E71" s="655"/>
      <c r="F71" s="858"/>
      <c r="G71" s="1004"/>
      <c r="I71" s="655"/>
    </row>
    <row r="72" spans="1:9">
      <c r="A72" s="655"/>
      <c r="D72" s="655"/>
      <c r="E72" s="655"/>
      <c r="F72" s="858"/>
      <c r="G72" s="1004"/>
      <c r="I72" s="655"/>
    </row>
    <row r="73" spans="1:9">
      <c r="A73" s="655"/>
      <c r="D73" s="655"/>
      <c r="E73" s="655"/>
      <c r="F73" s="858"/>
      <c r="G73" s="1004"/>
      <c r="I73" s="655"/>
    </row>
    <row r="74" spans="1:9">
      <c r="A74" s="655"/>
      <c r="D74" s="655"/>
      <c r="E74" s="655"/>
      <c r="F74" s="858"/>
      <c r="G74" s="1004"/>
      <c r="I74" s="655"/>
    </row>
    <row r="75" spans="1:9">
      <c r="A75" s="655"/>
      <c r="D75" s="655"/>
      <c r="E75" s="655"/>
      <c r="F75" s="858"/>
      <c r="G75" s="1004"/>
      <c r="I75" s="655"/>
    </row>
    <row r="76" spans="1:9">
      <c r="A76" s="655"/>
      <c r="D76" s="655"/>
      <c r="E76" s="655"/>
      <c r="F76" s="858"/>
      <c r="G76" s="1004"/>
      <c r="I76" s="655"/>
    </row>
    <row r="77" spans="1:9">
      <c r="A77" s="655"/>
      <c r="D77" s="655"/>
      <c r="E77" s="655"/>
      <c r="F77" s="858"/>
      <c r="G77" s="1004"/>
      <c r="I77" s="655"/>
    </row>
    <row r="78" spans="1:9">
      <c r="A78" s="655"/>
      <c r="D78" s="655"/>
      <c r="E78" s="655"/>
      <c r="F78" s="858"/>
      <c r="G78" s="1004"/>
      <c r="I78" s="655"/>
    </row>
    <row r="79" spans="1:9">
      <c r="A79" s="655"/>
      <c r="D79" s="655"/>
      <c r="E79" s="655"/>
      <c r="F79" s="858"/>
      <c r="G79" s="1004"/>
      <c r="I79" s="655"/>
    </row>
    <row r="80" spans="1:9">
      <c r="A80" s="655"/>
      <c r="D80" s="655"/>
      <c r="E80" s="655"/>
      <c r="F80" s="858"/>
      <c r="G80" s="1004"/>
      <c r="I80" s="655"/>
    </row>
    <row r="81" spans="1:9">
      <c r="A81" s="655"/>
      <c r="D81" s="655"/>
      <c r="E81" s="655"/>
      <c r="F81" s="858"/>
      <c r="G81" s="1004"/>
      <c r="I81" s="655"/>
    </row>
    <row r="82" spans="1:9">
      <c r="A82" s="655"/>
      <c r="D82" s="655"/>
      <c r="E82" s="655"/>
      <c r="F82" s="858"/>
      <c r="G82" s="1004"/>
      <c r="I82" s="655"/>
    </row>
    <row r="83" spans="1:9">
      <c r="A83" s="655"/>
      <c r="D83" s="655"/>
      <c r="E83" s="655"/>
      <c r="F83" s="858"/>
      <c r="G83" s="1004"/>
      <c r="I83" s="655"/>
    </row>
    <row r="84" spans="1:9">
      <c r="A84" s="655"/>
      <c r="D84" s="655"/>
      <c r="E84" s="655"/>
      <c r="F84" s="858"/>
      <c r="G84" s="1004"/>
      <c r="I84" s="655"/>
    </row>
    <row r="85" spans="1:9">
      <c r="A85" s="655"/>
      <c r="D85" s="655"/>
      <c r="E85" s="655"/>
      <c r="F85" s="858"/>
      <c r="G85" s="1004"/>
      <c r="I85" s="655"/>
    </row>
    <row r="86" spans="1:9">
      <c r="A86" s="655"/>
      <c r="D86" s="655"/>
      <c r="E86" s="655"/>
      <c r="F86" s="858"/>
      <c r="G86" s="1004"/>
      <c r="I86" s="655"/>
    </row>
    <row r="87" spans="1:9">
      <c r="A87" s="655"/>
      <c r="D87" s="655"/>
      <c r="E87" s="655"/>
      <c r="F87" s="858"/>
      <c r="G87" s="1004"/>
      <c r="I87" s="655"/>
    </row>
    <row r="88" spans="1:9">
      <c r="A88" s="655"/>
      <c r="D88" s="655"/>
      <c r="E88" s="655"/>
      <c r="F88" s="858"/>
      <c r="G88" s="1004"/>
      <c r="I88" s="655"/>
    </row>
    <row r="89" spans="1:9">
      <c r="A89" s="655"/>
      <c r="D89" s="655"/>
      <c r="E89" s="655"/>
      <c r="F89" s="858"/>
      <c r="G89" s="1004"/>
      <c r="I89" s="655"/>
    </row>
    <row r="90" spans="1:9">
      <c r="A90" s="655"/>
      <c r="D90" s="655"/>
      <c r="E90" s="655"/>
      <c r="F90" s="858"/>
      <c r="G90" s="1004"/>
      <c r="I90" s="655"/>
    </row>
    <row r="91" spans="1:9">
      <c r="A91" s="655"/>
      <c r="D91" s="655"/>
      <c r="E91" s="655"/>
      <c r="F91" s="858"/>
      <c r="G91" s="1004"/>
      <c r="I91" s="655"/>
    </row>
    <row r="92" spans="1:9">
      <c r="A92" s="655"/>
      <c r="D92" s="655"/>
      <c r="E92" s="655"/>
      <c r="F92" s="858"/>
      <c r="G92" s="1004"/>
      <c r="I92" s="655"/>
    </row>
    <row r="93" spans="1:9">
      <c r="A93" s="655"/>
      <c r="D93" s="655"/>
      <c r="E93" s="655"/>
      <c r="F93" s="858"/>
      <c r="G93" s="1004"/>
      <c r="I93" s="655"/>
    </row>
    <row r="94" spans="1:9">
      <c r="A94" s="655"/>
      <c r="D94" s="655"/>
      <c r="E94" s="655"/>
      <c r="F94" s="858"/>
      <c r="G94" s="1004"/>
      <c r="I94" s="655"/>
    </row>
    <row r="95" spans="1:9">
      <c r="A95" s="655"/>
      <c r="D95" s="655"/>
      <c r="E95" s="655"/>
      <c r="F95" s="858"/>
      <c r="G95" s="1004"/>
      <c r="I95" s="655"/>
    </row>
    <row r="96" spans="1:9">
      <c r="A96" s="655"/>
      <c r="D96" s="655"/>
      <c r="E96" s="655"/>
      <c r="F96" s="858"/>
      <c r="G96" s="1004"/>
      <c r="I96" s="655"/>
    </row>
    <row r="97" spans="1:9">
      <c r="A97" s="655"/>
      <c r="D97" s="655"/>
      <c r="E97" s="655"/>
      <c r="F97" s="858"/>
      <c r="G97" s="1004"/>
      <c r="I97" s="655"/>
    </row>
    <row r="98" spans="1:9">
      <c r="A98" s="655"/>
      <c r="D98" s="655"/>
      <c r="E98" s="655"/>
      <c r="F98" s="858"/>
      <c r="G98" s="1004"/>
      <c r="I98" s="655"/>
    </row>
    <row r="99" spans="1:9">
      <c r="A99" s="655"/>
      <c r="D99" s="655"/>
      <c r="E99" s="655"/>
      <c r="F99" s="858"/>
      <c r="G99" s="1004"/>
      <c r="I99" s="655"/>
    </row>
    <row r="100" spans="1:9">
      <c r="A100" s="655"/>
      <c r="D100" s="655"/>
      <c r="E100" s="655"/>
      <c r="F100" s="858"/>
      <c r="G100" s="1004"/>
      <c r="I100" s="655"/>
    </row>
    <row r="101" spans="1:9">
      <c r="A101" s="655"/>
      <c r="D101" s="655"/>
      <c r="E101" s="655"/>
      <c r="F101" s="858"/>
      <c r="G101" s="1004"/>
      <c r="I101" s="655"/>
    </row>
    <row r="102" spans="1:9">
      <c r="A102" s="655"/>
      <c r="D102" s="655"/>
      <c r="E102" s="655"/>
      <c r="F102" s="858"/>
      <c r="G102" s="1004"/>
      <c r="I102" s="655"/>
    </row>
    <row r="103" spans="1:9">
      <c r="A103" s="655"/>
      <c r="D103" s="655"/>
      <c r="E103" s="655"/>
      <c r="F103" s="858"/>
      <c r="G103" s="1004"/>
      <c r="I103" s="655"/>
    </row>
    <row r="104" spans="1:9">
      <c r="A104" s="655"/>
      <c r="D104" s="655"/>
      <c r="E104" s="655"/>
      <c r="F104" s="858"/>
      <c r="G104" s="1004"/>
      <c r="I104" s="655"/>
    </row>
    <row r="105" spans="1:9">
      <c r="A105" s="655"/>
      <c r="D105" s="655"/>
      <c r="E105" s="655"/>
      <c r="F105" s="858"/>
      <c r="G105" s="1004"/>
      <c r="I105" s="655"/>
    </row>
    <row r="106" spans="1:9">
      <c r="A106" s="655"/>
      <c r="D106" s="655"/>
      <c r="E106" s="655"/>
      <c r="F106" s="858"/>
      <c r="G106" s="1004"/>
      <c r="I106" s="655"/>
    </row>
    <row r="107" spans="1:9">
      <c r="A107" s="655"/>
      <c r="D107" s="655"/>
      <c r="E107" s="655"/>
      <c r="F107" s="858"/>
      <c r="G107" s="1004"/>
      <c r="I107" s="655"/>
    </row>
    <row r="108" spans="1:9">
      <c r="A108" s="655"/>
      <c r="D108" s="655"/>
      <c r="E108" s="655"/>
      <c r="F108" s="858"/>
      <c r="G108" s="1004"/>
      <c r="I108" s="655"/>
    </row>
    <row r="109" spans="1:9">
      <c r="A109" s="655"/>
      <c r="D109" s="655"/>
      <c r="E109" s="655"/>
      <c r="F109" s="858"/>
      <c r="G109" s="1004"/>
      <c r="I109" s="655"/>
    </row>
    <row r="110" spans="1:9">
      <c r="A110" s="655"/>
      <c r="D110" s="655"/>
      <c r="E110" s="655"/>
      <c r="F110" s="858"/>
      <c r="G110" s="1004"/>
      <c r="I110" s="655"/>
    </row>
    <row r="111" spans="1:9">
      <c r="A111" s="655"/>
      <c r="D111" s="655"/>
      <c r="E111" s="655"/>
      <c r="F111" s="858"/>
      <c r="G111" s="1004"/>
      <c r="I111" s="655"/>
    </row>
    <row r="112" spans="1:9">
      <c r="A112" s="655"/>
      <c r="D112" s="655"/>
      <c r="E112" s="655"/>
      <c r="F112" s="858"/>
      <c r="G112" s="1004"/>
      <c r="I112" s="655"/>
    </row>
    <row r="113" spans="1:9">
      <c r="A113" s="655"/>
      <c r="D113" s="655"/>
      <c r="E113" s="655"/>
      <c r="F113" s="858"/>
      <c r="G113" s="1004"/>
      <c r="I113" s="655"/>
    </row>
    <row r="114" spans="1:9">
      <c r="A114" s="655"/>
      <c r="D114" s="655"/>
      <c r="E114" s="655"/>
      <c r="F114" s="858"/>
      <c r="G114" s="1004"/>
      <c r="I114" s="655"/>
    </row>
    <row r="115" spans="1:9">
      <c r="A115" s="655"/>
      <c r="D115" s="655"/>
      <c r="E115" s="655"/>
      <c r="F115" s="858"/>
      <c r="G115" s="1004"/>
      <c r="I115" s="655"/>
    </row>
    <row r="116" spans="1:9">
      <c r="A116" s="655"/>
      <c r="D116" s="655"/>
      <c r="E116" s="655"/>
      <c r="F116" s="858"/>
      <c r="G116" s="1004"/>
      <c r="I116" s="655"/>
    </row>
    <row r="117" spans="1:9">
      <c r="A117" s="655"/>
      <c r="D117" s="655"/>
      <c r="E117" s="655"/>
      <c r="F117" s="858"/>
      <c r="G117" s="1004"/>
      <c r="I117" s="655"/>
    </row>
    <row r="118" spans="1:9">
      <c r="A118" s="655"/>
      <c r="D118" s="655"/>
      <c r="E118" s="655"/>
      <c r="F118" s="858"/>
      <c r="G118" s="1004"/>
      <c r="I118" s="655"/>
    </row>
  </sheetData>
  <sheetProtection algorithmName="SHA-512" hashValue="UffeW7VcD/FhBZFQ8iUdy6V1F7S3x8Q4bmQ30tm02HcQUzdiq6/vT9hSsJJo3QJcssZFl5ucK6y1q0JsSjXQ0A==" saltValue="nqkqTmAPGLdr7F4vYZgNhg==" spinCount="100000" sheet="1" objects="1" scenarios="1" formatCells="0" formatColumns="0" formatRows="0"/>
  <pageMargins left="1.1023622047244095" right="0.51181102362204722" top="0.59055118110236227" bottom="0.39370078740157483" header="0.19685039370078741" footer="0.11811023622047245"/>
  <pageSetup paperSize="9" orientation="portrait" r:id="rId1"/>
  <headerFooter>
    <oddHeader>&amp;L&amp;"-,Običajno"&amp;8TEHNIČNO POROČILO TER POPIS DEL IN MATERIALA&amp;"Arial CE,Običajno"&amp;10
______________________________________________________________________________________
&amp;R&amp;"-,Običajno"&amp;8 19/&amp;P</oddHeader>
    <oddFooter xml:space="preserve">&amp;L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4"/>
  <sheetViews>
    <sheetView view="pageBreakPreview" zoomScale="125" zoomScaleNormal="100" zoomScaleSheetLayoutView="125" workbookViewId="0">
      <selection activeCell="G1" sqref="G1:G1048576"/>
    </sheetView>
  </sheetViews>
  <sheetFormatPr defaultColWidth="8.125" defaultRowHeight="14.25"/>
  <cols>
    <col min="1" max="1" width="2.875" style="644" customWidth="1"/>
    <col min="2" max="2" width="40.125" style="696" customWidth="1"/>
    <col min="3" max="3" width="0.625" style="697" customWidth="1"/>
    <col min="4" max="4" width="4.75" style="644" customWidth="1"/>
    <col min="5" max="5" width="6.375" style="644" customWidth="1"/>
    <col min="6" max="6" width="11.25" style="859" customWidth="1"/>
    <col min="7" max="7" width="11.25" style="1005" customWidth="1"/>
    <col min="8" max="8" width="8.125" style="644" hidden="1" customWidth="1"/>
    <col min="9" max="9" width="9.375" style="644" hidden="1" customWidth="1"/>
    <col min="10" max="16384" width="8.125" style="644"/>
  </cols>
  <sheetData>
    <row r="1" spans="1:9">
      <c r="A1" s="637" t="s">
        <v>1449</v>
      </c>
      <c r="B1" s="793" t="s">
        <v>744</v>
      </c>
      <c r="C1" s="639"/>
      <c r="D1" s="640"/>
      <c r="E1" s="641"/>
      <c r="F1" s="852"/>
      <c r="G1" s="997"/>
      <c r="I1" s="642"/>
    </row>
    <row r="2" spans="1:9" ht="9" customHeight="1" thickBot="1">
      <c r="A2" s="645"/>
      <c r="B2" s="678"/>
      <c r="C2" s="647"/>
      <c r="D2" s="636"/>
      <c r="E2" s="636"/>
      <c r="F2" s="855"/>
      <c r="G2" s="1000"/>
      <c r="I2" s="650"/>
    </row>
    <row r="3" spans="1:9" s="655" customFormat="1" ht="12.75">
      <c r="A3" s="651" t="s">
        <v>850</v>
      </c>
      <c r="B3" s="635" t="s">
        <v>849</v>
      </c>
      <c r="C3" s="652"/>
      <c r="D3" s="653" t="s">
        <v>254</v>
      </c>
      <c r="E3" s="654" t="s">
        <v>848</v>
      </c>
      <c r="F3" s="854" t="s">
        <v>847</v>
      </c>
      <c r="G3" s="999" t="s">
        <v>846</v>
      </c>
      <c r="I3" s="650"/>
    </row>
    <row r="4" spans="1:9" ht="6.75" customHeight="1">
      <c r="A4" s="636"/>
      <c r="B4" s="656"/>
      <c r="C4" s="657"/>
      <c r="D4" s="636"/>
      <c r="E4" s="636"/>
      <c r="F4" s="853"/>
      <c r="G4" s="998"/>
      <c r="I4" s="650"/>
    </row>
    <row r="5" spans="1:9" s="655" customFormat="1" ht="27" customHeight="1">
      <c r="A5" s="645">
        <v>1</v>
      </c>
      <c r="B5" s="656" t="s">
        <v>915</v>
      </c>
      <c r="C5" s="656"/>
      <c r="D5" s="708"/>
      <c r="E5" s="708"/>
      <c r="F5" s="853"/>
      <c r="G5" s="998"/>
    </row>
    <row r="6" spans="1:9" s="655" customFormat="1" ht="15">
      <c r="A6" s="645"/>
      <c r="B6" s="678" t="s">
        <v>1324</v>
      </c>
      <c r="C6" s="678"/>
      <c r="D6" s="636" t="s">
        <v>824</v>
      </c>
      <c r="E6" s="708">
        <v>225</v>
      </c>
      <c r="F6" s="853"/>
      <c r="G6" s="998">
        <f>ROUND(ROUND(E6,2)*ROUND(F6,2),2)</f>
        <v>0</v>
      </c>
    </row>
    <row r="7" spans="1:9" s="655" customFormat="1" ht="15">
      <c r="A7" s="645"/>
      <c r="B7" s="678" t="s">
        <v>1325</v>
      </c>
      <c r="C7" s="678"/>
      <c r="D7" s="636" t="s">
        <v>824</v>
      </c>
      <c r="E7" s="708">
        <v>20</v>
      </c>
      <c r="F7" s="853"/>
      <c r="G7" s="998">
        <f t="shared" ref="G7:G64" si="0">ROUND(ROUND(E7,2)*ROUND(F7,2),2)</f>
        <v>0</v>
      </c>
    </row>
    <row r="8" spans="1:9" s="655" customFormat="1" ht="15">
      <c r="A8" s="645"/>
      <c r="B8" s="678" t="s">
        <v>1326</v>
      </c>
      <c r="C8" s="678"/>
      <c r="D8" s="636" t="s">
        <v>824</v>
      </c>
      <c r="E8" s="708">
        <v>450</v>
      </c>
      <c r="F8" s="853"/>
      <c r="G8" s="998">
        <f t="shared" si="0"/>
        <v>0</v>
      </c>
    </row>
    <row r="9" spans="1:9" s="655" customFormat="1" ht="15">
      <c r="A9" s="645"/>
      <c r="B9" s="678" t="s">
        <v>1327</v>
      </c>
      <c r="C9" s="678"/>
      <c r="D9" s="636" t="s">
        <v>824</v>
      </c>
      <c r="E9" s="708">
        <v>20</v>
      </c>
      <c r="F9" s="853"/>
      <c r="G9" s="998">
        <f t="shared" si="0"/>
        <v>0</v>
      </c>
    </row>
    <row r="10" spans="1:9" s="655" customFormat="1" ht="15">
      <c r="A10" s="645"/>
      <c r="B10" s="678" t="s">
        <v>1328</v>
      </c>
      <c r="C10" s="678"/>
      <c r="D10" s="636" t="s">
        <v>824</v>
      </c>
      <c r="E10" s="708">
        <v>410</v>
      </c>
      <c r="F10" s="853"/>
      <c r="G10" s="998">
        <f t="shared" si="0"/>
        <v>0</v>
      </c>
    </row>
    <row r="11" spans="1:9" s="655" customFormat="1" ht="15">
      <c r="A11" s="645"/>
      <c r="B11" s="678" t="s">
        <v>1329</v>
      </c>
      <c r="C11" s="678"/>
      <c r="D11" s="636" t="s">
        <v>824</v>
      </c>
      <c r="E11" s="708">
        <v>105</v>
      </c>
      <c r="F11" s="853"/>
      <c r="G11" s="998">
        <f t="shared" si="0"/>
        <v>0</v>
      </c>
    </row>
    <row r="12" spans="1:9" s="655" customFormat="1" ht="9" customHeight="1">
      <c r="A12" s="645"/>
      <c r="B12" s="678"/>
      <c r="C12" s="678"/>
      <c r="D12" s="636"/>
      <c r="E12" s="648"/>
      <c r="F12" s="853"/>
      <c r="G12" s="998"/>
    </row>
    <row r="13" spans="1:9" s="655" customFormat="1" ht="27" customHeight="1">
      <c r="A13" s="645">
        <f>A5+1</f>
        <v>2</v>
      </c>
      <c r="B13" s="646" t="s">
        <v>914</v>
      </c>
      <c r="C13" s="646"/>
      <c r="D13" s="636"/>
      <c r="E13" s="636"/>
      <c r="F13" s="853"/>
      <c r="G13" s="998"/>
    </row>
    <row r="14" spans="1:9" s="660" customFormat="1" ht="15">
      <c r="A14" s="709"/>
      <c r="B14" s="678" t="s">
        <v>1324</v>
      </c>
      <c r="C14" s="678"/>
      <c r="D14" s="636" t="s">
        <v>93</v>
      </c>
      <c r="E14" s="708">
        <v>6</v>
      </c>
      <c r="F14" s="853"/>
      <c r="G14" s="998">
        <f t="shared" si="0"/>
        <v>0</v>
      </c>
    </row>
    <row r="15" spans="1:9" s="655" customFormat="1" ht="9" customHeight="1">
      <c r="A15" s="645"/>
      <c r="B15" s="678"/>
      <c r="C15" s="678"/>
      <c r="D15" s="636"/>
      <c r="E15" s="648"/>
      <c r="F15" s="853"/>
      <c r="G15" s="998"/>
    </row>
    <row r="16" spans="1:9" s="655" customFormat="1" ht="27" customHeight="1">
      <c r="A16" s="645">
        <f>A13+1</f>
        <v>3</v>
      </c>
      <c r="B16" s="656" t="s">
        <v>913</v>
      </c>
      <c r="C16" s="656"/>
      <c r="D16" s="636"/>
      <c r="E16" s="708"/>
      <c r="F16" s="853"/>
      <c r="G16" s="998">
        <f t="shared" si="0"/>
        <v>0</v>
      </c>
    </row>
    <row r="17" spans="1:8" s="655" customFormat="1" ht="15">
      <c r="A17" s="645"/>
      <c r="B17" s="678" t="s">
        <v>1328</v>
      </c>
      <c r="C17" s="678"/>
      <c r="D17" s="636" t="s">
        <v>824</v>
      </c>
      <c r="E17" s="708">
        <v>50</v>
      </c>
      <c r="F17" s="853"/>
      <c r="G17" s="998">
        <f t="shared" si="0"/>
        <v>0</v>
      </c>
    </row>
    <row r="18" spans="1:8" s="655" customFormat="1" ht="9" customHeight="1">
      <c r="A18" s="645"/>
      <c r="B18" s="678"/>
      <c r="C18" s="678"/>
      <c r="D18" s="636"/>
      <c r="E18" s="648"/>
      <c r="F18" s="853"/>
      <c r="G18" s="998"/>
    </row>
    <row r="19" spans="1:8" s="655" customFormat="1" ht="27" customHeight="1">
      <c r="A19" s="645">
        <f>A16+1</f>
        <v>4</v>
      </c>
      <c r="B19" s="656" t="s">
        <v>912</v>
      </c>
      <c r="C19" s="656"/>
      <c r="D19" s="636"/>
      <c r="E19" s="708"/>
      <c r="F19" s="853"/>
      <c r="G19" s="998"/>
    </row>
    <row r="20" spans="1:8" s="655" customFormat="1" ht="15">
      <c r="A20" s="645"/>
      <c r="B20" s="678" t="s">
        <v>1330</v>
      </c>
      <c r="C20" s="678"/>
      <c r="D20" s="636" t="s">
        <v>824</v>
      </c>
      <c r="E20" s="636">
        <v>50</v>
      </c>
      <c r="F20" s="853"/>
      <c r="G20" s="998">
        <f t="shared" si="0"/>
        <v>0</v>
      </c>
      <c r="H20" s="660"/>
    </row>
    <row r="21" spans="1:8" s="655" customFormat="1" ht="15" customHeight="1">
      <c r="A21" s="645"/>
      <c r="B21" s="678" t="s">
        <v>1331</v>
      </c>
      <c r="C21" s="678"/>
      <c r="D21" s="636" t="s">
        <v>824</v>
      </c>
      <c r="E21" s="708">
        <v>100</v>
      </c>
      <c r="F21" s="853"/>
      <c r="G21" s="998">
        <f t="shared" si="0"/>
        <v>0</v>
      </c>
    </row>
    <row r="22" spans="1:8" s="655" customFormat="1" ht="9" customHeight="1">
      <c r="A22" s="645"/>
      <c r="B22" s="678"/>
      <c r="C22" s="678"/>
      <c r="D22" s="636"/>
      <c r="E22" s="636"/>
      <c r="F22" s="853"/>
      <c r="G22" s="998"/>
    </row>
    <row r="23" spans="1:8" s="655" customFormat="1" ht="28.9" customHeight="1">
      <c r="A23" s="645">
        <f>A19+1</f>
        <v>5</v>
      </c>
      <c r="B23" s="656" t="s">
        <v>911</v>
      </c>
      <c r="C23" s="656"/>
      <c r="D23" s="636" t="s">
        <v>824</v>
      </c>
      <c r="E23" s="636">
        <v>4</v>
      </c>
      <c r="F23" s="853"/>
      <c r="G23" s="998">
        <f t="shared" si="0"/>
        <v>0</v>
      </c>
    </row>
    <row r="24" spans="1:8" s="655" customFormat="1" ht="9" customHeight="1">
      <c r="A24" s="645"/>
      <c r="B24" s="678"/>
      <c r="C24" s="678"/>
      <c r="D24" s="636"/>
      <c r="E24" s="636"/>
      <c r="F24" s="853"/>
      <c r="G24" s="998"/>
    </row>
    <row r="25" spans="1:8" s="655" customFormat="1" ht="28.9" customHeight="1">
      <c r="A25" s="645">
        <f>A23+1</f>
        <v>6</v>
      </c>
      <c r="B25" s="656" t="s">
        <v>910</v>
      </c>
      <c r="C25" s="701"/>
      <c r="D25" s="636" t="s">
        <v>93</v>
      </c>
      <c r="E25" s="636">
        <v>2</v>
      </c>
      <c r="F25" s="853"/>
      <c r="G25" s="998">
        <f t="shared" si="0"/>
        <v>0</v>
      </c>
    </row>
    <row r="26" spans="1:8" ht="9" customHeight="1">
      <c r="A26" s="645"/>
      <c r="B26" s="678"/>
      <c r="C26" s="678"/>
      <c r="D26" s="636"/>
      <c r="E26" s="636"/>
      <c r="F26" s="853"/>
      <c r="G26" s="998"/>
    </row>
    <row r="27" spans="1:8" s="710" customFormat="1" ht="41.45" customHeight="1">
      <c r="A27" s="645">
        <f>A25+1</f>
        <v>7</v>
      </c>
      <c r="B27" s="656" t="s">
        <v>1400</v>
      </c>
      <c r="C27" s="656"/>
      <c r="D27" s="636" t="s">
        <v>824</v>
      </c>
      <c r="E27" s="636">
        <v>275</v>
      </c>
      <c r="F27" s="853"/>
      <c r="G27" s="998">
        <f t="shared" si="0"/>
        <v>0</v>
      </c>
    </row>
    <row r="28" spans="1:8" s="710" customFormat="1" ht="12.75">
      <c r="A28" s="645"/>
      <c r="B28" s="678"/>
      <c r="C28" s="678"/>
      <c r="D28" s="636"/>
      <c r="E28" s="636"/>
      <c r="F28" s="853"/>
      <c r="G28" s="998"/>
    </row>
    <row r="29" spans="1:8" s="710" customFormat="1" ht="13.5" customHeight="1">
      <c r="A29" s="645">
        <f>A27+1</f>
        <v>8</v>
      </c>
      <c r="B29" s="678" t="s">
        <v>1401</v>
      </c>
      <c r="C29" s="701"/>
      <c r="D29" s="636" t="s">
        <v>93</v>
      </c>
      <c r="E29" s="636">
        <v>8</v>
      </c>
      <c r="F29" s="853"/>
      <c r="G29" s="998">
        <f t="shared" si="0"/>
        <v>0</v>
      </c>
    </row>
    <row r="30" spans="1:8" s="710" customFormat="1" ht="14.25" customHeight="1">
      <c r="A30" s="645"/>
      <c r="B30" s="678"/>
      <c r="C30" s="678"/>
      <c r="D30" s="636"/>
      <c r="E30" s="636"/>
      <c r="F30" s="853"/>
      <c r="G30" s="998"/>
    </row>
    <row r="31" spans="1:8" s="710" customFormat="1" ht="38.25">
      <c r="A31" s="645">
        <f>A29+1</f>
        <v>9</v>
      </c>
      <c r="B31" s="678" t="s">
        <v>909</v>
      </c>
      <c r="C31" s="678"/>
      <c r="D31" s="636"/>
      <c r="E31" s="708"/>
      <c r="F31" s="853"/>
      <c r="G31" s="998"/>
    </row>
    <row r="32" spans="1:8" s="710" customFormat="1" ht="12.75">
      <c r="A32" s="645"/>
      <c r="B32" s="678" t="s">
        <v>1320</v>
      </c>
      <c r="C32" s="678"/>
      <c r="D32" s="636" t="s">
        <v>824</v>
      </c>
      <c r="E32" s="708">
        <v>45</v>
      </c>
      <c r="F32" s="853"/>
      <c r="G32" s="998">
        <f t="shared" si="0"/>
        <v>0</v>
      </c>
    </row>
    <row r="33" spans="1:9" s="710" customFormat="1" ht="12.75">
      <c r="A33" s="645"/>
      <c r="B33" s="678"/>
      <c r="C33" s="678"/>
      <c r="D33" s="636"/>
      <c r="E33" s="708"/>
      <c r="F33" s="853"/>
      <c r="G33" s="998"/>
    </row>
    <row r="34" spans="1:9" s="710" customFormat="1" ht="14.25" customHeight="1">
      <c r="A34" s="645">
        <f>A31+1</f>
        <v>10</v>
      </c>
      <c r="B34" s="678" t="s">
        <v>908</v>
      </c>
      <c r="C34" s="678"/>
      <c r="D34" s="636"/>
      <c r="E34" s="708"/>
      <c r="F34" s="853"/>
      <c r="G34" s="998"/>
    </row>
    <row r="35" spans="1:9" s="655" customFormat="1" ht="15" customHeight="1">
      <c r="A35" s="645"/>
      <c r="B35" s="678" t="s">
        <v>1321</v>
      </c>
      <c r="C35" s="678"/>
      <c r="D35" s="636" t="s">
        <v>824</v>
      </c>
      <c r="E35" s="708">
        <v>16</v>
      </c>
      <c r="F35" s="853"/>
      <c r="G35" s="998">
        <f t="shared" si="0"/>
        <v>0</v>
      </c>
    </row>
    <row r="36" spans="1:9" s="655" customFormat="1" ht="15" customHeight="1">
      <c r="A36" s="645"/>
      <c r="B36" s="678" t="s">
        <v>1322</v>
      </c>
      <c r="C36" s="678"/>
      <c r="D36" s="636" t="s">
        <v>824</v>
      </c>
      <c r="E36" s="708">
        <v>100</v>
      </c>
      <c r="F36" s="853"/>
      <c r="G36" s="998">
        <f t="shared" si="0"/>
        <v>0</v>
      </c>
    </row>
    <row r="37" spans="1:9" s="655" customFormat="1" ht="15" customHeight="1">
      <c r="A37" s="645"/>
      <c r="B37" s="678" t="s">
        <v>1323</v>
      </c>
      <c r="C37" s="678"/>
      <c r="D37" s="636" t="s">
        <v>824</v>
      </c>
      <c r="E37" s="708">
        <v>75</v>
      </c>
      <c r="F37" s="853"/>
      <c r="G37" s="998">
        <f t="shared" si="0"/>
        <v>0</v>
      </c>
    </row>
    <row r="38" spans="1:9" s="655" customFormat="1" ht="15" customHeight="1">
      <c r="A38" s="645"/>
      <c r="B38" s="678"/>
      <c r="C38" s="678"/>
      <c r="D38" s="708"/>
      <c r="E38" s="708"/>
      <c r="F38" s="853"/>
      <c r="G38" s="998"/>
    </row>
    <row r="39" spans="1:9" s="655" customFormat="1" ht="15" customHeight="1">
      <c r="A39" s="645">
        <f>A34+1</f>
        <v>11</v>
      </c>
      <c r="B39" s="678" t="s">
        <v>907</v>
      </c>
      <c r="C39" s="647"/>
      <c r="D39" s="636"/>
      <c r="E39" s="708"/>
      <c r="F39" s="853"/>
      <c r="G39" s="998"/>
    </row>
    <row r="40" spans="1:9" s="655" customFormat="1" ht="12.75" customHeight="1">
      <c r="A40" s="645"/>
      <c r="B40" s="678" t="s">
        <v>906</v>
      </c>
      <c r="C40" s="647"/>
      <c r="D40" s="636" t="s">
        <v>113</v>
      </c>
      <c r="E40" s="708">
        <v>1</v>
      </c>
      <c r="F40" s="853"/>
      <c r="G40" s="998">
        <f t="shared" si="0"/>
        <v>0</v>
      </c>
    </row>
    <row r="41" spans="1:9" s="655" customFormat="1" ht="15.75" customHeight="1">
      <c r="A41" s="645"/>
      <c r="B41" s="678" t="s">
        <v>905</v>
      </c>
      <c r="C41" s="647"/>
      <c r="D41" s="636" t="s">
        <v>113</v>
      </c>
      <c r="E41" s="708">
        <v>1</v>
      </c>
      <c r="F41" s="853"/>
      <c r="G41" s="998">
        <f t="shared" si="0"/>
        <v>0</v>
      </c>
    </row>
    <row r="42" spans="1:9" ht="12" customHeight="1">
      <c r="A42" s="645"/>
      <c r="B42" s="678" t="s">
        <v>904</v>
      </c>
      <c r="C42" s="647"/>
      <c r="D42" s="636" t="s">
        <v>113</v>
      </c>
      <c r="E42" s="708">
        <v>1</v>
      </c>
      <c r="F42" s="853"/>
      <c r="G42" s="998">
        <f t="shared" si="0"/>
        <v>0</v>
      </c>
    </row>
    <row r="43" spans="1:9" s="655" customFormat="1" ht="14.25" customHeight="1">
      <c r="A43" s="645"/>
      <c r="B43" s="678" t="s">
        <v>903</v>
      </c>
      <c r="C43" s="647"/>
      <c r="D43" s="636" t="s">
        <v>113</v>
      </c>
      <c r="E43" s="708">
        <v>2</v>
      </c>
      <c r="F43" s="853"/>
      <c r="G43" s="998">
        <f t="shared" si="0"/>
        <v>0</v>
      </c>
    </row>
    <row r="44" spans="1:9" s="655" customFormat="1" ht="11.25" customHeight="1">
      <c r="A44" s="645"/>
      <c r="B44" s="678"/>
      <c r="C44" s="647"/>
      <c r="D44" s="636"/>
      <c r="E44" s="636"/>
      <c r="F44" s="853"/>
      <c r="G44" s="998"/>
    </row>
    <row r="45" spans="1:9" s="655" customFormat="1" ht="13.5" customHeight="1">
      <c r="A45" s="645">
        <f>A39+1</f>
        <v>12</v>
      </c>
      <c r="B45" s="656" t="s">
        <v>1332</v>
      </c>
      <c r="C45" s="656"/>
      <c r="D45" s="636" t="s">
        <v>113</v>
      </c>
      <c r="E45" s="708">
        <v>4</v>
      </c>
      <c r="F45" s="853"/>
      <c r="G45" s="998">
        <f t="shared" si="0"/>
        <v>0</v>
      </c>
    </row>
    <row r="46" spans="1:9" s="655" customFormat="1" ht="10.5" customHeight="1">
      <c r="A46" s="645"/>
      <c r="B46" s="678"/>
      <c r="C46" s="678"/>
      <c r="D46" s="636"/>
      <c r="E46" s="648"/>
      <c r="F46" s="853"/>
      <c r="G46" s="998"/>
    </row>
    <row r="47" spans="1:9" s="655" customFormat="1" ht="9" customHeight="1">
      <c r="A47" s="645">
        <f>A45+1</f>
        <v>13</v>
      </c>
      <c r="B47" s="656" t="s">
        <v>902</v>
      </c>
      <c r="C47" s="657"/>
      <c r="D47" s="636"/>
      <c r="E47" s="708"/>
      <c r="F47" s="853"/>
      <c r="G47" s="998"/>
    </row>
    <row r="48" spans="1:9" s="700" customFormat="1" ht="29.45" customHeight="1">
      <c r="A48" s="645"/>
      <c r="B48" s="656" t="s">
        <v>901</v>
      </c>
      <c r="C48" s="656"/>
      <c r="D48" s="636" t="s">
        <v>113</v>
      </c>
      <c r="E48" s="708">
        <v>3</v>
      </c>
      <c r="F48" s="853"/>
      <c r="G48" s="998">
        <f t="shared" si="0"/>
        <v>0</v>
      </c>
      <c r="H48" s="711"/>
      <c r="I48" s="711"/>
    </row>
    <row r="49" spans="1:9" s="682" customFormat="1" ht="9" customHeight="1">
      <c r="A49" s="645"/>
      <c r="B49" s="678"/>
      <c r="C49" s="647"/>
      <c r="D49" s="636"/>
      <c r="E49" s="708"/>
      <c r="F49" s="853"/>
      <c r="G49" s="998"/>
    </row>
    <row r="50" spans="1:9" s="700" customFormat="1" ht="29.45" customHeight="1">
      <c r="A50" s="645">
        <f>A47+1</f>
        <v>14</v>
      </c>
      <c r="B50" s="657" t="s">
        <v>900</v>
      </c>
      <c r="C50" s="712"/>
      <c r="D50" s="636" t="s">
        <v>113</v>
      </c>
      <c r="E50" s="708">
        <v>1</v>
      </c>
      <c r="F50" s="853"/>
      <c r="G50" s="998">
        <f t="shared" si="0"/>
        <v>0</v>
      </c>
      <c r="H50" s="711"/>
      <c r="I50" s="711"/>
    </row>
    <row r="51" spans="1:9" s="682" customFormat="1" ht="9" customHeight="1">
      <c r="A51" s="645"/>
      <c r="B51" s="678"/>
      <c r="C51" s="647"/>
      <c r="D51" s="636"/>
      <c r="E51" s="708"/>
      <c r="F51" s="853"/>
      <c r="G51" s="998"/>
    </row>
    <row r="52" spans="1:9" s="700" customFormat="1" ht="15.75" customHeight="1">
      <c r="A52" s="645">
        <f>A50+1</f>
        <v>15</v>
      </c>
      <c r="B52" s="646" t="s">
        <v>899</v>
      </c>
      <c r="C52" s="647"/>
      <c r="D52" s="636" t="s">
        <v>93</v>
      </c>
      <c r="E52" s="636">
        <v>3</v>
      </c>
      <c r="F52" s="853"/>
      <c r="G52" s="998">
        <f t="shared" si="0"/>
        <v>0</v>
      </c>
      <c r="H52" s="711"/>
      <c r="I52" s="711"/>
    </row>
    <row r="53" spans="1:9" s="682" customFormat="1" ht="9" customHeight="1">
      <c r="A53" s="645"/>
      <c r="B53" s="646"/>
      <c r="C53" s="647"/>
      <c r="D53" s="636"/>
      <c r="E53" s="636"/>
      <c r="F53" s="853"/>
      <c r="G53" s="998"/>
    </row>
    <row r="54" spans="1:9" s="700" customFormat="1" ht="15.75" customHeight="1">
      <c r="A54" s="645">
        <f>A52+1</f>
        <v>16</v>
      </c>
      <c r="B54" s="646" t="s">
        <v>898</v>
      </c>
      <c r="C54" s="647"/>
      <c r="D54" s="636" t="s">
        <v>93</v>
      </c>
      <c r="E54" s="636">
        <v>1</v>
      </c>
      <c r="F54" s="853"/>
      <c r="G54" s="998">
        <f t="shared" si="0"/>
        <v>0</v>
      </c>
      <c r="H54" s="711"/>
      <c r="I54" s="711"/>
    </row>
    <row r="55" spans="1:9" s="682" customFormat="1" ht="9" customHeight="1">
      <c r="A55" s="645"/>
      <c r="B55" s="646"/>
      <c r="C55" s="647"/>
      <c r="D55" s="636"/>
      <c r="E55" s="636"/>
      <c r="F55" s="853"/>
      <c r="G55" s="998"/>
    </row>
    <row r="56" spans="1:9" s="700" customFormat="1" ht="15" customHeight="1">
      <c r="A56" s="645">
        <f>A54+1</f>
        <v>17</v>
      </c>
      <c r="B56" s="646" t="s">
        <v>897</v>
      </c>
      <c r="C56" s="647"/>
      <c r="D56" s="636" t="s">
        <v>93</v>
      </c>
      <c r="E56" s="636">
        <v>2</v>
      </c>
      <c r="F56" s="853"/>
      <c r="G56" s="998">
        <f t="shared" si="0"/>
        <v>0</v>
      </c>
      <c r="H56" s="711"/>
      <c r="I56" s="711"/>
    </row>
    <row r="57" spans="1:9" s="682" customFormat="1" ht="9" customHeight="1">
      <c r="A57" s="645"/>
      <c r="B57" s="646"/>
      <c r="C57" s="647"/>
      <c r="D57" s="636"/>
      <c r="E57" s="636"/>
      <c r="F57" s="853"/>
      <c r="G57" s="998"/>
    </row>
    <row r="58" spans="1:9" s="700" customFormat="1" ht="30" customHeight="1">
      <c r="A58" s="645">
        <f>A56+1</f>
        <v>18</v>
      </c>
      <c r="B58" s="646" t="s">
        <v>896</v>
      </c>
      <c r="C58" s="647"/>
      <c r="D58" s="636" t="s">
        <v>93</v>
      </c>
      <c r="E58" s="636">
        <v>1</v>
      </c>
      <c r="F58" s="853"/>
      <c r="G58" s="998">
        <f t="shared" si="0"/>
        <v>0</v>
      </c>
      <c r="H58" s="711"/>
      <c r="I58" s="711"/>
    </row>
    <row r="59" spans="1:9" s="682" customFormat="1" ht="9" customHeight="1">
      <c r="A59" s="645"/>
      <c r="B59" s="646"/>
      <c r="C59" s="647"/>
      <c r="D59" s="636"/>
      <c r="E59" s="636"/>
      <c r="F59" s="853"/>
      <c r="G59" s="998"/>
    </row>
    <row r="60" spans="1:9" s="655" customFormat="1" ht="16.5" customHeight="1">
      <c r="A60" s="645">
        <f>A58+1</f>
        <v>19</v>
      </c>
      <c r="B60" s="646" t="s">
        <v>895</v>
      </c>
      <c r="C60" s="647"/>
      <c r="D60" s="636" t="s">
        <v>93</v>
      </c>
      <c r="E60" s="636">
        <v>1</v>
      </c>
      <c r="F60" s="853"/>
      <c r="G60" s="998">
        <f t="shared" si="0"/>
        <v>0</v>
      </c>
    </row>
    <row r="61" spans="1:9" s="655" customFormat="1" ht="14.25" customHeight="1">
      <c r="A61" s="645"/>
      <c r="B61" s="646"/>
      <c r="C61" s="647"/>
      <c r="D61" s="636"/>
      <c r="E61" s="636"/>
      <c r="F61" s="853"/>
      <c r="G61" s="998"/>
    </row>
    <row r="62" spans="1:9" s="655" customFormat="1" ht="27.75" customHeight="1">
      <c r="A62" s="645">
        <f>A60+1</f>
        <v>20</v>
      </c>
      <c r="B62" s="646" t="s">
        <v>894</v>
      </c>
      <c r="C62" s="647"/>
      <c r="D62" s="636" t="s">
        <v>93</v>
      </c>
      <c r="E62" s="636">
        <v>1</v>
      </c>
      <c r="F62" s="853"/>
      <c r="G62" s="998">
        <f t="shared" si="0"/>
        <v>0</v>
      </c>
    </row>
    <row r="63" spans="1:9" s="655" customFormat="1" ht="13.5" customHeight="1">
      <c r="A63" s="645"/>
      <c r="B63" s="646"/>
      <c r="C63" s="647"/>
      <c r="D63" s="636"/>
      <c r="E63" s="636"/>
      <c r="F63" s="853"/>
      <c r="G63" s="998"/>
    </row>
    <row r="64" spans="1:9" s="655" customFormat="1" ht="108.75" customHeight="1">
      <c r="A64" s="645">
        <f>A62+1</f>
        <v>21</v>
      </c>
      <c r="B64" s="657" t="s">
        <v>1314</v>
      </c>
      <c r="C64" s="657"/>
      <c r="D64" s="636" t="s">
        <v>113</v>
      </c>
      <c r="E64" s="708">
        <v>1</v>
      </c>
      <c r="F64" s="853"/>
      <c r="G64" s="998">
        <f t="shared" si="0"/>
        <v>0</v>
      </c>
    </row>
    <row r="65" spans="1:9">
      <c r="A65" s="636"/>
      <c r="B65" s="656"/>
      <c r="C65" s="657"/>
      <c r="D65" s="636"/>
      <c r="E65" s="636"/>
      <c r="F65" s="853"/>
      <c r="G65" s="998"/>
      <c r="I65" s="702"/>
    </row>
    <row r="66" spans="1:9" ht="15" thickBot="1">
      <c r="A66" s="703" t="s">
        <v>805</v>
      </c>
      <c r="B66" s="704"/>
      <c r="C66" s="705"/>
      <c r="D66" s="706"/>
      <c r="E66" s="707"/>
      <c r="F66" s="857"/>
      <c r="G66" s="1006">
        <f>ROUND(SUM(G6:G64),1)</f>
        <v>0</v>
      </c>
      <c r="I66" s="702"/>
    </row>
    <row r="67" spans="1:9">
      <c r="A67" s="655"/>
      <c r="D67" s="655"/>
      <c r="E67" s="655"/>
      <c r="F67" s="858"/>
      <c r="G67" s="1004"/>
      <c r="I67" s="702"/>
    </row>
    <row r="68" spans="1:9">
      <c r="A68" s="655"/>
      <c r="D68" s="655"/>
      <c r="E68" s="655"/>
      <c r="F68" s="858"/>
      <c r="G68" s="1004"/>
      <c r="I68" s="655"/>
    </row>
    <row r="69" spans="1:9">
      <c r="A69" s="655"/>
      <c r="D69" s="655"/>
      <c r="E69" s="655"/>
      <c r="F69" s="858"/>
      <c r="G69" s="1004"/>
      <c r="I69" s="655"/>
    </row>
    <row r="70" spans="1:9">
      <c r="A70" s="655"/>
      <c r="D70" s="655"/>
      <c r="E70" s="655"/>
      <c r="F70" s="858"/>
      <c r="G70" s="1004"/>
      <c r="I70" s="655"/>
    </row>
    <row r="71" spans="1:9">
      <c r="A71" s="655"/>
      <c r="D71" s="655"/>
      <c r="E71" s="655"/>
      <c r="F71" s="858"/>
      <c r="G71" s="1004"/>
      <c r="I71" s="655"/>
    </row>
    <row r="72" spans="1:9">
      <c r="A72" s="655"/>
      <c r="D72" s="655"/>
      <c r="E72" s="655"/>
      <c r="F72" s="858"/>
      <c r="G72" s="1004"/>
      <c r="I72" s="655"/>
    </row>
    <row r="73" spans="1:9">
      <c r="A73" s="655"/>
      <c r="D73" s="655"/>
      <c r="E73" s="655"/>
      <c r="F73" s="858"/>
      <c r="G73" s="1004"/>
      <c r="I73" s="655"/>
    </row>
    <row r="74" spans="1:9">
      <c r="A74" s="655"/>
      <c r="D74" s="655"/>
      <c r="E74" s="655"/>
      <c r="F74" s="858"/>
      <c r="G74" s="1004"/>
      <c r="I74" s="655"/>
    </row>
    <row r="75" spans="1:9">
      <c r="A75" s="655"/>
      <c r="D75" s="655"/>
      <c r="E75" s="655"/>
      <c r="F75" s="858"/>
      <c r="G75" s="1004"/>
      <c r="I75" s="655"/>
    </row>
    <row r="76" spans="1:9">
      <c r="A76" s="655"/>
      <c r="D76" s="655"/>
      <c r="E76" s="655"/>
      <c r="F76" s="858"/>
      <c r="G76" s="1004"/>
      <c r="I76" s="655"/>
    </row>
    <row r="77" spans="1:9">
      <c r="A77" s="655"/>
      <c r="D77" s="655"/>
      <c r="E77" s="655"/>
      <c r="F77" s="858"/>
      <c r="G77" s="1004"/>
      <c r="I77" s="655"/>
    </row>
    <row r="78" spans="1:9">
      <c r="A78" s="655"/>
      <c r="D78" s="655"/>
      <c r="E78" s="655"/>
      <c r="F78" s="858"/>
      <c r="G78" s="1004"/>
      <c r="I78" s="655"/>
    </row>
    <row r="79" spans="1:9">
      <c r="A79" s="655"/>
      <c r="D79" s="655"/>
      <c r="E79" s="655"/>
      <c r="F79" s="858"/>
      <c r="G79" s="1004"/>
      <c r="I79" s="655"/>
    </row>
    <row r="80" spans="1:9">
      <c r="A80" s="655"/>
      <c r="D80" s="655"/>
      <c r="E80" s="655"/>
      <c r="F80" s="858"/>
      <c r="G80" s="1004"/>
      <c r="I80" s="655"/>
    </row>
    <row r="81" spans="1:9">
      <c r="A81" s="655"/>
      <c r="D81" s="655"/>
      <c r="E81" s="655"/>
      <c r="F81" s="858"/>
      <c r="G81" s="1004"/>
      <c r="I81" s="655"/>
    </row>
    <row r="82" spans="1:9">
      <c r="A82" s="655"/>
      <c r="D82" s="655"/>
      <c r="E82" s="655"/>
      <c r="F82" s="858"/>
      <c r="G82" s="1004"/>
      <c r="I82" s="655"/>
    </row>
    <row r="83" spans="1:9">
      <c r="A83" s="655"/>
      <c r="D83" s="655"/>
      <c r="E83" s="655"/>
      <c r="F83" s="858"/>
      <c r="G83" s="1004"/>
      <c r="I83" s="655"/>
    </row>
    <row r="84" spans="1:9">
      <c r="A84" s="655"/>
      <c r="D84" s="655"/>
      <c r="E84" s="655"/>
      <c r="F84" s="858"/>
      <c r="G84" s="1004"/>
      <c r="I84" s="655"/>
    </row>
    <row r="85" spans="1:9">
      <c r="A85" s="655"/>
      <c r="D85" s="655"/>
      <c r="E85" s="655"/>
      <c r="F85" s="858"/>
      <c r="G85" s="1004"/>
      <c r="I85" s="655"/>
    </row>
    <row r="86" spans="1:9">
      <c r="A86" s="655"/>
      <c r="D86" s="655"/>
      <c r="E86" s="655"/>
      <c r="F86" s="858"/>
      <c r="G86" s="1004"/>
      <c r="I86" s="655"/>
    </row>
    <row r="87" spans="1:9">
      <c r="A87" s="655"/>
      <c r="D87" s="655"/>
      <c r="E87" s="655"/>
      <c r="F87" s="858"/>
      <c r="G87" s="1004"/>
      <c r="I87" s="655"/>
    </row>
    <row r="88" spans="1:9">
      <c r="A88" s="655"/>
      <c r="D88" s="655"/>
      <c r="E88" s="655"/>
      <c r="F88" s="858"/>
      <c r="G88" s="1004"/>
      <c r="I88" s="655"/>
    </row>
    <row r="89" spans="1:9">
      <c r="A89" s="655"/>
      <c r="D89" s="655"/>
      <c r="E89" s="655"/>
      <c r="F89" s="858"/>
      <c r="G89" s="1004"/>
      <c r="I89" s="655"/>
    </row>
    <row r="90" spans="1:9">
      <c r="A90" s="655"/>
      <c r="D90" s="655"/>
      <c r="E90" s="655"/>
      <c r="F90" s="858"/>
      <c r="G90" s="1004"/>
      <c r="I90" s="655"/>
    </row>
    <row r="91" spans="1:9">
      <c r="A91" s="655"/>
      <c r="D91" s="655"/>
      <c r="E91" s="655"/>
      <c r="F91" s="858"/>
      <c r="G91" s="1004"/>
      <c r="I91" s="655"/>
    </row>
    <row r="92" spans="1:9">
      <c r="A92" s="655"/>
      <c r="D92" s="655"/>
      <c r="E92" s="655"/>
      <c r="F92" s="858"/>
      <c r="G92" s="1004"/>
      <c r="I92" s="655"/>
    </row>
    <row r="93" spans="1:9">
      <c r="A93" s="655"/>
      <c r="D93" s="655"/>
      <c r="E93" s="655"/>
      <c r="F93" s="858"/>
      <c r="G93" s="1004"/>
      <c r="I93" s="655"/>
    </row>
    <row r="94" spans="1:9">
      <c r="A94" s="655"/>
      <c r="D94" s="655"/>
      <c r="E94" s="655"/>
      <c r="F94" s="858"/>
      <c r="G94" s="1004"/>
      <c r="I94" s="655"/>
    </row>
    <row r="95" spans="1:9">
      <c r="A95" s="655"/>
      <c r="D95" s="655"/>
      <c r="E95" s="655"/>
      <c r="F95" s="858"/>
      <c r="G95" s="1004"/>
      <c r="I95" s="655"/>
    </row>
    <row r="96" spans="1:9">
      <c r="A96" s="655"/>
      <c r="D96" s="655"/>
      <c r="E96" s="655"/>
      <c r="F96" s="858"/>
      <c r="G96" s="1004"/>
      <c r="I96" s="655"/>
    </row>
    <row r="97" spans="1:9">
      <c r="A97" s="655"/>
      <c r="D97" s="655"/>
      <c r="E97" s="655"/>
      <c r="F97" s="858"/>
      <c r="G97" s="1004"/>
      <c r="I97" s="655"/>
    </row>
    <row r="98" spans="1:9">
      <c r="A98" s="655"/>
      <c r="D98" s="655"/>
      <c r="E98" s="655"/>
      <c r="F98" s="858"/>
      <c r="G98" s="1004"/>
      <c r="I98" s="655"/>
    </row>
    <row r="99" spans="1:9">
      <c r="A99" s="655"/>
      <c r="D99" s="655"/>
      <c r="E99" s="655"/>
      <c r="F99" s="858"/>
      <c r="G99" s="1004"/>
      <c r="I99" s="655"/>
    </row>
    <row r="100" spans="1:9">
      <c r="A100" s="655"/>
      <c r="D100" s="655"/>
      <c r="E100" s="655"/>
      <c r="F100" s="858"/>
      <c r="G100" s="1004"/>
      <c r="I100" s="655"/>
    </row>
    <row r="101" spans="1:9">
      <c r="A101" s="655"/>
      <c r="D101" s="655"/>
      <c r="E101" s="655"/>
      <c r="F101" s="858"/>
      <c r="G101" s="1004"/>
      <c r="I101" s="655"/>
    </row>
    <row r="102" spans="1:9">
      <c r="A102" s="655"/>
      <c r="D102" s="655"/>
      <c r="E102" s="655"/>
      <c r="F102" s="858"/>
      <c r="G102" s="1004"/>
      <c r="I102" s="655"/>
    </row>
    <row r="103" spans="1:9">
      <c r="A103" s="655"/>
      <c r="D103" s="655"/>
      <c r="E103" s="655"/>
      <c r="F103" s="858"/>
      <c r="G103" s="1004"/>
      <c r="I103" s="655"/>
    </row>
    <row r="104" spans="1:9">
      <c r="A104" s="655"/>
      <c r="D104" s="655"/>
      <c r="E104" s="655"/>
      <c r="F104" s="858"/>
      <c r="G104" s="1004"/>
      <c r="I104" s="655"/>
    </row>
    <row r="105" spans="1:9">
      <c r="A105" s="655"/>
      <c r="D105" s="655"/>
      <c r="E105" s="655"/>
      <c r="F105" s="858"/>
      <c r="G105" s="1004"/>
      <c r="I105" s="655"/>
    </row>
    <row r="106" spans="1:9">
      <c r="A106" s="655"/>
      <c r="D106" s="655"/>
      <c r="E106" s="655"/>
      <c r="F106" s="858"/>
      <c r="G106" s="1004"/>
      <c r="I106" s="655"/>
    </row>
    <row r="107" spans="1:9">
      <c r="A107" s="655"/>
      <c r="D107" s="655"/>
      <c r="E107" s="655"/>
      <c r="F107" s="858"/>
      <c r="G107" s="1004"/>
      <c r="I107" s="655"/>
    </row>
    <row r="108" spans="1:9">
      <c r="A108" s="655"/>
      <c r="D108" s="655"/>
      <c r="E108" s="655"/>
      <c r="F108" s="858"/>
      <c r="G108" s="1004"/>
      <c r="I108" s="655"/>
    </row>
    <row r="109" spans="1:9">
      <c r="A109" s="655"/>
      <c r="D109" s="655"/>
      <c r="E109" s="655"/>
      <c r="F109" s="858"/>
      <c r="G109" s="1004"/>
      <c r="I109" s="655"/>
    </row>
    <row r="110" spans="1:9">
      <c r="A110" s="655"/>
      <c r="D110" s="655"/>
      <c r="E110" s="655"/>
      <c r="F110" s="858"/>
      <c r="G110" s="1004"/>
      <c r="I110" s="655"/>
    </row>
    <row r="111" spans="1:9">
      <c r="A111" s="655"/>
      <c r="D111" s="655"/>
      <c r="E111" s="655"/>
      <c r="F111" s="858"/>
      <c r="G111" s="1004"/>
      <c r="I111" s="655"/>
    </row>
    <row r="112" spans="1:9" ht="52.5" customHeight="1">
      <c r="A112" s="655"/>
      <c r="D112" s="655"/>
      <c r="E112" s="655"/>
      <c r="F112" s="858"/>
      <c r="G112" s="1004"/>
      <c r="I112" s="655"/>
    </row>
    <row r="113" spans="1:9">
      <c r="A113" s="655"/>
      <c r="D113" s="655"/>
      <c r="E113" s="655"/>
      <c r="F113" s="858"/>
      <c r="G113" s="1004"/>
      <c r="I113" s="655"/>
    </row>
    <row r="114" spans="1:9">
      <c r="A114" s="655"/>
      <c r="D114" s="655"/>
      <c r="E114" s="655"/>
      <c r="F114" s="858"/>
      <c r="G114" s="1004"/>
      <c r="I114" s="655"/>
    </row>
    <row r="115" spans="1:9">
      <c r="A115" s="655"/>
      <c r="D115" s="655"/>
      <c r="E115" s="655"/>
      <c r="F115" s="858"/>
      <c r="G115" s="1004"/>
      <c r="I115" s="655"/>
    </row>
    <row r="116" spans="1:9">
      <c r="A116" s="655"/>
      <c r="D116" s="655"/>
      <c r="E116" s="655"/>
      <c r="F116" s="858"/>
      <c r="G116" s="1004"/>
      <c r="I116" s="655"/>
    </row>
    <row r="117" spans="1:9">
      <c r="A117" s="655"/>
      <c r="D117" s="655"/>
      <c r="E117" s="655"/>
      <c r="F117" s="858"/>
      <c r="G117" s="1004"/>
      <c r="I117" s="655"/>
    </row>
    <row r="118" spans="1:9">
      <c r="A118" s="655"/>
      <c r="D118" s="655"/>
      <c r="E118" s="655"/>
      <c r="F118" s="858"/>
      <c r="G118" s="1004"/>
      <c r="I118" s="655"/>
    </row>
    <row r="119" spans="1:9">
      <c r="A119" s="655"/>
      <c r="D119" s="655"/>
      <c r="E119" s="655"/>
      <c r="F119" s="858"/>
      <c r="G119" s="1004"/>
      <c r="I119" s="655"/>
    </row>
    <row r="120" spans="1:9">
      <c r="A120" s="655"/>
      <c r="D120" s="655"/>
      <c r="E120" s="655"/>
      <c r="F120" s="858"/>
      <c r="G120" s="1004"/>
      <c r="I120" s="655"/>
    </row>
    <row r="121" spans="1:9">
      <c r="A121" s="655"/>
      <c r="D121" s="655"/>
      <c r="E121" s="655"/>
      <c r="F121" s="858"/>
      <c r="G121" s="1004"/>
      <c r="I121" s="655"/>
    </row>
    <row r="122" spans="1:9">
      <c r="A122" s="655"/>
      <c r="D122" s="655"/>
      <c r="E122" s="655"/>
      <c r="F122" s="858"/>
      <c r="G122" s="1004"/>
      <c r="I122" s="655"/>
    </row>
    <row r="123" spans="1:9">
      <c r="A123" s="655"/>
      <c r="D123" s="655"/>
      <c r="E123" s="655"/>
      <c r="F123" s="858"/>
      <c r="G123" s="1004"/>
      <c r="I123" s="655"/>
    </row>
    <row r="124" spans="1:9">
      <c r="A124" s="655"/>
      <c r="D124" s="655"/>
      <c r="E124" s="655"/>
      <c r="F124" s="858"/>
      <c r="G124" s="1004"/>
      <c r="I124" s="655"/>
    </row>
    <row r="125" spans="1:9">
      <c r="A125" s="655"/>
      <c r="D125" s="655"/>
      <c r="E125" s="655"/>
      <c r="F125" s="858"/>
      <c r="G125" s="1004"/>
      <c r="I125" s="655"/>
    </row>
    <row r="126" spans="1:9">
      <c r="A126" s="655"/>
      <c r="D126" s="655"/>
      <c r="E126" s="655"/>
      <c r="F126" s="858"/>
      <c r="G126" s="1004"/>
      <c r="I126" s="655"/>
    </row>
    <row r="127" spans="1:9">
      <c r="A127" s="655"/>
      <c r="D127" s="655"/>
      <c r="E127" s="655"/>
      <c r="F127" s="858"/>
      <c r="G127" s="1004"/>
      <c r="I127" s="655"/>
    </row>
    <row r="128" spans="1:9">
      <c r="A128" s="655"/>
      <c r="D128" s="655"/>
      <c r="E128" s="655"/>
      <c r="F128" s="858"/>
      <c r="G128" s="1004"/>
      <c r="I128" s="655"/>
    </row>
    <row r="129" spans="1:9">
      <c r="A129" s="655"/>
      <c r="D129" s="655"/>
      <c r="E129" s="655"/>
      <c r="F129" s="858"/>
      <c r="G129" s="1004"/>
      <c r="I129" s="655"/>
    </row>
    <row r="130" spans="1:9">
      <c r="A130" s="655"/>
      <c r="D130" s="655"/>
      <c r="E130" s="655"/>
      <c r="F130" s="858"/>
      <c r="G130" s="1004"/>
      <c r="I130" s="655"/>
    </row>
    <row r="131" spans="1:9">
      <c r="A131" s="655"/>
      <c r="D131" s="655"/>
      <c r="E131" s="655"/>
      <c r="F131" s="858"/>
      <c r="G131" s="1004"/>
      <c r="I131" s="655"/>
    </row>
    <row r="132" spans="1:9">
      <c r="A132" s="655"/>
      <c r="D132" s="655"/>
      <c r="E132" s="655"/>
      <c r="F132" s="858"/>
      <c r="G132" s="1004"/>
      <c r="I132" s="655"/>
    </row>
    <row r="133" spans="1:9">
      <c r="A133" s="655"/>
      <c r="D133" s="655"/>
      <c r="E133" s="655"/>
      <c r="F133" s="858"/>
      <c r="G133" s="1004"/>
      <c r="I133" s="655"/>
    </row>
    <row r="134" spans="1:9">
      <c r="A134" s="655"/>
      <c r="D134" s="655"/>
      <c r="E134" s="655"/>
      <c r="F134" s="858"/>
      <c r="G134" s="1004"/>
      <c r="I134" s="655"/>
    </row>
    <row r="135" spans="1:9">
      <c r="A135" s="655"/>
      <c r="D135" s="655"/>
      <c r="E135" s="655"/>
      <c r="F135" s="858"/>
      <c r="G135" s="1004"/>
      <c r="I135" s="655"/>
    </row>
    <row r="136" spans="1:9">
      <c r="A136" s="655"/>
      <c r="D136" s="655"/>
      <c r="E136" s="655"/>
      <c r="F136" s="858"/>
      <c r="G136" s="1004"/>
      <c r="I136" s="655"/>
    </row>
    <row r="137" spans="1:9">
      <c r="A137" s="655"/>
      <c r="D137" s="655"/>
      <c r="E137" s="655"/>
      <c r="F137" s="858"/>
      <c r="G137" s="1004"/>
      <c r="I137" s="655"/>
    </row>
    <row r="138" spans="1:9">
      <c r="A138" s="655"/>
      <c r="D138" s="655"/>
      <c r="E138" s="655"/>
      <c r="F138" s="858"/>
      <c r="G138" s="1004"/>
      <c r="I138" s="655"/>
    </row>
    <row r="139" spans="1:9">
      <c r="A139" s="655"/>
      <c r="D139" s="655"/>
      <c r="E139" s="655"/>
      <c r="F139" s="858"/>
      <c r="G139" s="1004"/>
      <c r="I139" s="655"/>
    </row>
    <row r="140" spans="1:9">
      <c r="A140" s="655"/>
      <c r="D140" s="655"/>
      <c r="E140" s="655"/>
      <c r="F140" s="858"/>
      <c r="G140" s="1004"/>
      <c r="I140" s="655"/>
    </row>
    <row r="141" spans="1:9">
      <c r="A141" s="655"/>
      <c r="D141" s="655"/>
      <c r="E141" s="655"/>
      <c r="F141" s="858"/>
      <c r="G141" s="1004"/>
      <c r="I141" s="655"/>
    </row>
    <row r="142" spans="1:9">
      <c r="A142" s="655"/>
      <c r="D142" s="655"/>
      <c r="E142" s="655"/>
      <c r="F142" s="858"/>
      <c r="G142" s="1004"/>
      <c r="I142" s="655"/>
    </row>
    <row r="143" spans="1:9">
      <c r="A143" s="655"/>
      <c r="D143" s="655"/>
      <c r="E143" s="655"/>
      <c r="F143" s="858"/>
      <c r="G143" s="1004"/>
      <c r="I143" s="655"/>
    </row>
    <row r="144" spans="1:9">
      <c r="A144" s="655"/>
      <c r="D144" s="655"/>
      <c r="E144" s="655"/>
      <c r="F144" s="858"/>
      <c r="G144" s="1004"/>
      <c r="I144" s="655"/>
    </row>
    <row r="145" spans="1:9">
      <c r="A145" s="655"/>
      <c r="D145" s="655"/>
      <c r="E145" s="655"/>
      <c r="F145" s="858"/>
      <c r="G145" s="1004"/>
      <c r="I145" s="655"/>
    </row>
    <row r="146" spans="1:9">
      <c r="A146" s="655"/>
      <c r="D146" s="655"/>
      <c r="E146" s="655"/>
      <c r="F146" s="858"/>
      <c r="G146" s="1004"/>
      <c r="I146" s="655"/>
    </row>
    <row r="147" spans="1:9">
      <c r="A147" s="655"/>
      <c r="D147" s="655"/>
      <c r="E147" s="655"/>
      <c r="F147" s="858"/>
      <c r="G147" s="1004"/>
      <c r="I147" s="655"/>
    </row>
    <row r="148" spans="1:9">
      <c r="A148" s="655"/>
      <c r="D148" s="655"/>
      <c r="E148" s="655"/>
      <c r="F148" s="858"/>
      <c r="G148" s="1004"/>
      <c r="I148" s="655"/>
    </row>
    <row r="149" spans="1:9">
      <c r="A149" s="655"/>
      <c r="D149" s="655"/>
      <c r="E149" s="655"/>
      <c r="F149" s="858"/>
      <c r="G149" s="1004"/>
      <c r="I149" s="655"/>
    </row>
    <row r="150" spans="1:9">
      <c r="A150" s="655"/>
      <c r="D150" s="655"/>
      <c r="E150" s="655"/>
      <c r="F150" s="858"/>
      <c r="G150" s="1004"/>
      <c r="I150" s="655"/>
    </row>
    <row r="151" spans="1:9">
      <c r="A151" s="655"/>
      <c r="D151" s="655"/>
      <c r="E151" s="655"/>
      <c r="F151" s="858"/>
      <c r="G151" s="1004"/>
      <c r="I151" s="655"/>
    </row>
    <row r="152" spans="1:9">
      <c r="A152" s="655"/>
      <c r="D152" s="655"/>
      <c r="E152" s="655"/>
      <c r="F152" s="858"/>
      <c r="G152" s="1004"/>
      <c r="I152" s="655"/>
    </row>
    <row r="153" spans="1:9">
      <c r="A153" s="655"/>
      <c r="D153" s="655"/>
      <c r="E153" s="655"/>
      <c r="F153" s="858"/>
      <c r="G153" s="1004"/>
      <c r="I153" s="655"/>
    </row>
    <row r="154" spans="1:9">
      <c r="A154" s="655"/>
      <c r="D154" s="655"/>
      <c r="E154" s="655"/>
      <c r="F154" s="858"/>
      <c r="G154" s="1004"/>
      <c r="I154" s="655"/>
    </row>
    <row r="155" spans="1:9">
      <c r="A155" s="655"/>
      <c r="D155" s="655"/>
      <c r="E155" s="655"/>
      <c r="F155" s="858"/>
      <c r="G155" s="1004"/>
      <c r="I155" s="655"/>
    </row>
    <row r="156" spans="1:9">
      <c r="A156" s="655"/>
      <c r="D156" s="655"/>
      <c r="E156" s="655"/>
      <c r="F156" s="858"/>
      <c r="G156" s="1004"/>
      <c r="I156" s="655"/>
    </row>
    <row r="157" spans="1:9">
      <c r="A157" s="655"/>
      <c r="D157" s="655"/>
      <c r="E157" s="655"/>
      <c r="F157" s="858"/>
      <c r="G157" s="1004"/>
      <c r="I157" s="655"/>
    </row>
    <row r="158" spans="1:9">
      <c r="A158" s="655"/>
      <c r="D158" s="655"/>
      <c r="E158" s="655"/>
      <c r="F158" s="858"/>
      <c r="G158" s="1004"/>
      <c r="I158" s="655"/>
    </row>
    <row r="159" spans="1:9">
      <c r="A159" s="655"/>
      <c r="D159" s="655"/>
      <c r="E159" s="655"/>
      <c r="F159" s="858"/>
      <c r="G159" s="1004"/>
      <c r="I159" s="655"/>
    </row>
    <row r="160" spans="1:9">
      <c r="A160" s="655"/>
      <c r="D160" s="655"/>
      <c r="E160" s="655"/>
      <c r="F160" s="858"/>
      <c r="G160" s="1004"/>
      <c r="I160" s="655"/>
    </row>
    <row r="161" spans="1:9">
      <c r="A161" s="655"/>
      <c r="D161" s="655"/>
      <c r="E161" s="655"/>
      <c r="F161" s="858"/>
      <c r="G161" s="1004"/>
      <c r="I161" s="655"/>
    </row>
    <row r="162" spans="1:9">
      <c r="A162" s="655"/>
      <c r="D162" s="655"/>
      <c r="E162" s="655"/>
      <c r="F162" s="858"/>
      <c r="G162" s="1004"/>
      <c r="I162" s="655"/>
    </row>
    <row r="163" spans="1:9">
      <c r="A163" s="655"/>
      <c r="D163" s="655"/>
      <c r="E163" s="655"/>
      <c r="F163" s="858"/>
      <c r="G163" s="1004"/>
      <c r="I163" s="655"/>
    </row>
    <row r="164" spans="1:9">
      <c r="A164" s="655"/>
      <c r="D164" s="655"/>
      <c r="E164" s="655"/>
      <c r="F164" s="858"/>
      <c r="G164" s="1004"/>
      <c r="I164" s="655"/>
    </row>
  </sheetData>
  <sheetProtection algorithmName="SHA-512" hashValue="CpZrMIcc9uwut0iSEfcPEjHSTmdwW7qZ0xoJgJ+3Myxh/+9ZBffNL26aSbfFB60e+TiqCrUvOXCR2pSd7LlDcA==" saltValue="cW4yHQhLDqdhj/01WZteHA==" spinCount="100000" sheet="1" objects="1" scenarios="1" formatCells="0" formatColumns="0" formatRows="0"/>
  <pageMargins left="1.1023622047244095" right="0.51181102362204722" top="0.59055118110236227" bottom="0.39370078740157483" header="0.19685039370078741" footer="0.11811023622047245"/>
  <pageSetup paperSize="9" orientation="portrait" r:id="rId1"/>
  <headerFooter>
    <oddHeader>&amp;L&amp;"-,Običajno"&amp;8TEHNIČNO POROČILO TER POPIS DEL IN MATERIALA&amp;"Arial CE,Običajno"&amp;10
______________________________________________________________________________________
&amp;R&amp;"-,Običajno"&amp;8 19/&amp;P</oddHeader>
    <oddFooter xml:space="preserve">&amp;L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9"/>
  <sheetViews>
    <sheetView view="pageBreakPreview" topLeftCell="A34" zoomScale="125" zoomScaleNormal="100" zoomScaleSheetLayoutView="125" workbookViewId="0">
      <selection activeCell="F41" sqref="F41"/>
    </sheetView>
  </sheetViews>
  <sheetFormatPr defaultColWidth="8.125" defaultRowHeight="14.25"/>
  <cols>
    <col min="1" max="1" width="2.875" style="213" customWidth="1"/>
    <col min="2" max="2" width="40.125" style="215" customWidth="1"/>
    <col min="3" max="3" width="0.875" style="214" customWidth="1"/>
    <col min="4" max="4" width="4.75" style="213" customWidth="1"/>
    <col min="5" max="5" width="6.375" style="213" customWidth="1"/>
    <col min="6" max="6" width="10.25" style="859" customWidth="1"/>
    <col min="7" max="7" width="10.25" style="991" customWidth="1"/>
    <col min="8" max="8" width="8.125" style="213" hidden="1" customWidth="1"/>
    <col min="9" max="9" width="9.375" style="213" hidden="1" customWidth="1"/>
    <col min="10" max="10" width="0" style="213" hidden="1" customWidth="1"/>
    <col min="11" max="16384" width="8.125" style="213"/>
  </cols>
  <sheetData>
    <row r="1" spans="1:10">
      <c r="A1" s="794" t="s">
        <v>1451</v>
      </c>
      <c r="B1" s="713"/>
      <c r="C1" s="630"/>
      <c r="D1" s="631"/>
      <c r="E1" s="632"/>
      <c r="F1" s="852"/>
      <c r="G1" s="984"/>
      <c r="I1" s="235"/>
    </row>
    <row r="2" spans="1:10" ht="9" customHeight="1" thickBot="1">
      <c r="A2" s="578"/>
      <c r="B2" s="593"/>
      <c r="C2" s="580"/>
      <c r="D2" s="588"/>
      <c r="E2" s="588"/>
      <c r="F2" s="855"/>
      <c r="G2" s="988"/>
      <c r="I2" s="230"/>
    </row>
    <row r="3" spans="1:10" s="216" customFormat="1" ht="12.75">
      <c r="A3" s="583" t="s">
        <v>850</v>
      </c>
      <c r="B3" s="584" t="s">
        <v>849</v>
      </c>
      <c r="C3" s="585"/>
      <c r="D3" s="586" t="s">
        <v>254</v>
      </c>
      <c r="E3" s="587" t="s">
        <v>848</v>
      </c>
      <c r="F3" s="854" t="s">
        <v>847</v>
      </c>
      <c r="G3" s="986" t="s">
        <v>846</v>
      </c>
      <c r="I3" s="230"/>
    </row>
    <row r="4" spans="1:10" ht="4.1500000000000004" customHeight="1">
      <c r="A4" s="588"/>
      <c r="B4" s="589"/>
      <c r="C4" s="590"/>
      <c r="D4" s="588"/>
      <c r="E4" s="588"/>
      <c r="F4" s="853"/>
      <c r="G4" s="985"/>
      <c r="I4" s="230"/>
    </row>
    <row r="5" spans="1:10" s="216" customFormat="1" ht="142.5" customHeight="1">
      <c r="A5" s="578">
        <v>1</v>
      </c>
      <c r="B5" s="714" t="s">
        <v>1402</v>
      </c>
      <c r="C5" s="580"/>
      <c r="D5" s="715"/>
      <c r="E5" s="716"/>
      <c r="F5" s="871"/>
      <c r="G5" s="1007"/>
      <c r="I5" s="236"/>
      <c r="J5" s="236">
        <v>1480</v>
      </c>
    </row>
    <row r="6" spans="1:10" s="216" customFormat="1" ht="12.75">
      <c r="A6" s="578"/>
      <c r="B6" s="717" t="s">
        <v>935</v>
      </c>
      <c r="C6" s="717"/>
      <c r="D6" s="588"/>
      <c r="E6" s="588"/>
      <c r="F6" s="853"/>
      <c r="G6" s="988"/>
      <c r="H6" s="223"/>
      <c r="I6" s="237"/>
    </row>
    <row r="7" spans="1:10" s="239" customFormat="1" ht="15.75" customHeight="1">
      <c r="A7" s="718"/>
      <c r="B7" s="593" t="s">
        <v>934</v>
      </c>
      <c r="C7" s="593"/>
      <c r="D7" s="719" t="s">
        <v>113</v>
      </c>
      <c r="E7" s="719">
        <v>1</v>
      </c>
      <c r="F7" s="853"/>
      <c r="G7" s="1008"/>
      <c r="I7" s="236">
        <v>4.17</v>
      </c>
      <c r="J7" s="236" t="e">
        <f>D7*I7</f>
        <v>#VALUE!</v>
      </c>
    </row>
    <row r="8" spans="1:10" s="239" customFormat="1" ht="15" customHeight="1">
      <c r="A8" s="718"/>
      <c r="B8" s="593" t="s">
        <v>933</v>
      </c>
      <c r="C8" s="593"/>
      <c r="D8" s="719" t="s">
        <v>113</v>
      </c>
      <c r="E8" s="719">
        <v>1</v>
      </c>
      <c r="F8" s="853" t="s">
        <v>1403</v>
      </c>
      <c r="G8" s="1008"/>
      <c r="I8" s="236">
        <v>24.74</v>
      </c>
      <c r="J8" s="236" t="e">
        <f>D8*I8</f>
        <v>#VALUE!</v>
      </c>
    </row>
    <row r="9" spans="1:10" s="239" customFormat="1" ht="27.6" customHeight="1">
      <c r="A9" s="718"/>
      <c r="B9" s="593" t="s">
        <v>932</v>
      </c>
      <c r="C9" s="593"/>
      <c r="D9" s="719" t="s">
        <v>113</v>
      </c>
      <c r="E9" s="719">
        <v>1</v>
      </c>
      <c r="F9" s="853" t="s">
        <v>1403</v>
      </c>
      <c r="G9" s="1008"/>
      <c r="I9" s="236">
        <v>60.81</v>
      </c>
      <c r="J9" s="236" t="e">
        <f>D9*I9</f>
        <v>#VALUE!</v>
      </c>
    </row>
    <row r="10" spans="1:10" s="216" customFormat="1" ht="63" customHeight="1">
      <c r="A10" s="578"/>
      <c r="B10" s="593" t="s">
        <v>1404</v>
      </c>
      <c r="C10" s="580"/>
      <c r="D10" s="719" t="s">
        <v>113</v>
      </c>
      <c r="E10" s="719">
        <v>1</v>
      </c>
      <c r="F10" s="853"/>
      <c r="G10" s="988"/>
      <c r="H10" s="223"/>
      <c r="I10" s="236">
        <v>134.6</v>
      </c>
      <c r="J10" s="236" t="e">
        <f>D10*I10</f>
        <v>#VALUE!</v>
      </c>
    </row>
    <row r="11" spans="1:10" s="216" customFormat="1" ht="53.25" customHeight="1">
      <c r="A11" s="578"/>
      <c r="B11" s="593" t="s">
        <v>1405</v>
      </c>
      <c r="C11" s="580"/>
      <c r="D11" s="719" t="s">
        <v>113</v>
      </c>
      <c r="E11" s="719">
        <v>1</v>
      </c>
      <c r="F11" s="853"/>
      <c r="G11" s="988"/>
      <c r="H11" s="223"/>
      <c r="I11" s="236">
        <v>215.8</v>
      </c>
      <c r="J11" s="236" t="e">
        <f>D11*I11</f>
        <v>#VALUE!</v>
      </c>
    </row>
    <row r="12" spans="1:10" s="216" customFormat="1" ht="12.75">
      <c r="A12" s="578"/>
      <c r="B12" s="717" t="s">
        <v>931</v>
      </c>
      <c r="C12" s="717"/>
      <c r="D12" s="719" t="s">
        <v>113</v>
      </c>
      <c r="E12" s="588"/>
      <c r="F12" s="853"/>
      <c r="G12" s="988"/>
      <c r="H12" s="223"/>
      <c r="I12" s="237"/>
    </row>
    <row r="13" spans="1:10" s="239" customFormat="1" ht="15.75" customHeight="1">
      <c r="A13" s="718"/>
      <c r="B13" s="593" t="s">
        <v>930</v>
      </c>
      <c r="C13" s="593"/>
      <c r="D13" s="719" t="s">
        <v>113</v>
      </c>
      <c r="E13" s="719">
        <v>4</v>
      </c>
      <c r="F13" s="853" t="s">
        <v>1403</v>
      </c>
      <c r="G13" s="1008"/>
      <c r="I13" s="236">
        <v>6.92</v>
      </c>
      <c r="J13" s="236" t="e">
        <f t="shared" ref="J13:J20" si="0">D13*I13</f>
        <v>#VALUE!</v>
      </c>
    </row>
    <row r="14" spans="1:10" s="239" customFormat="1" ht="15.75" customHeight="1">
      <c r="A14" s="718"/>
      <c r="B14" s="593" t="s">
        <v>1406</v>
      </c>
      <c r="C14" s="593"/>
      <c r="D14" s="719" t="s">
        <v>113</v>
      </c>
      <c r="E14" s="719">
        <v>4</v>
      </c>
      <c r="F14" s="853" t="s">
        <v>1403</v>
      </c>
      <c r="G14" s="1008"/>
      <c r="I14" s="236">
        <v>2.2999999999999998</v>
      </c>
      <c r="J14" s="236" t="e">
        <f t="shared" si="0"/>
        <v>#VALUE!</v>
      </c>
    </row>
    <row r="15" spans="1:10" s="239" customFormat="1" ht="27.6" customHeight="1">
      <c r="A15" s="718"/>
      <c r="B15" s="593" t="s">
        <v>929</v>
      </c>
      <c r="C15" s="719">
        <v>3</v>
      </c>
      <c r="D15" s="719" t="s">
        <v>113</v>
      </c>
      <c r="E15" s="719">
        <v>2</v>
      </c>
      <c r="F15" s="853"/>
      <c r="G15" s="1008"/>
      <c r="I15" s="236">
        <v>7.86</v>
      </c>
      <c r="J15" s="236" t="e">
        <f t="shared" si="0"/>
        <v>#VALUE!</v>
      </c>
    </row>
    <row r="16" spans="1:10" s="239" customFormat="1" ht="15.75" customHeight="1">
      <c r="A16" s="718"/>
      <c r="B16" s="593" t="s">
        <v>928</v>
      </c>
      <c r="C16" s="593"/>
      <c r="D16" s="719" t="s">
        <v>113</v>
      </c>
      <c r="E16" s="719">
        <v>3</v>
      </c>
      <c r="F16" s="853" t="s">
        <v>1403</v>
      </c>
      <c r="G16" s="1008"/>
      <c r="I16" s="236">
        <v>0.49</v>
      </c>
      <c r="J16" s="236" t="e">
        <f t="shared" si="0"/>
        <v>#VALUE!</v>
      </c>
    </row>
    <row r="17" spans="1:10" s="239" customFormat="1" ht="15.75" customHeight="1">
      <c r="A17" s="718"/>
      <c r="B17" s="593" t="s">
        <v>1407</v>
      </c>
      <c r="C17" s="593"/>
      <c r="D17" s="719" t="s">
        <v>113</v>
      </c>
      <c r="E17" s="719">
        <v>2</v>
      </c>
      <c r="F17" s="853" t="s">
        <v>1403</v>
      </c>
      <c r="G17" s="1008"/>
      <c r="I17" s="236">
        <v>24.05</v>
      </c>
      <c r="J17" s="236" t="e">
        <f t="shared" si="0"/>
        <v>#VALUE!</v>
      </c>
    </row>
    <row r="18" spans="1:10" s="239" customFormat="1" ht="26.45" customHeight="1">
      <c r="A18" s="718"/>
      <c r="B18" s="593" t="s">
        <v>1334</v>
      </c>
      <c r="C18" s="593"/>
      <c r="D18" s="719" t="s">
        <v>113</v>
      </c>
      <c r="E18" s="719">
        <v>12</v>
      </c>
      <c r="F18" s="853" t="s">
        <v>1403</v>
      </c>
      <c r="G18" s="1008"/>
      <c r="I18" s="236">
        <v>66.540000000000006</v>
      </c>
      <c r="J18" s="236" t="e">
        <f t="shared" si="0"/>
        <v>#VALUE!</v>
      </c>
    </row>
    <row r="19" spans="1:10" s="239" customFormat="1" ht="15" customHeight="1">
      <c r="A19" s="718"/>
      <c r="B19" s="593" t="s">
        <v>1408</v>
      </c>
      <c r="C19" s="593"/>
      <c r="D19" s="719" t="s">
        <v>113</v>
      </c>
      <c r="E19" s="719">
        <v>8</v>
      </c>
      <c r="F19" s="853" t="s">
        <v>1403</v>
      </c>
      <c r="G19" s="1008"/>
      <c r="I19" s="236">
        <v>5.03</v>
      </c>
      <c r="J19" s="236" t="e">
        <f t="shared" si="0"/>
        <v>#VALUE!</v>
      </c>
    </row>
    <row r="20" spans="1:10" s="239" customFormat="1" ht="15" customHeight="1">
      <c r="A20" s="718"/>
      <c r="B20" s="593" t="s">
        <v>927</v>
      </c>
      <c r="C20" s="593"/>
      <c r="D20" s="719" t="s">
        <v>113</v>
      </c>
      <c r="E20" s="719">
        <v>1</v>
      </c>
      <c r="F20" s="853" t="s">
        <v>1403</v>
      </c>
      <c r="G20" s="1008"/>
      <c r="I20" s="236">
        <v>77.11</v>
      </c>
      <c r="J20" s="236" t="e">
        <f t="shared" si="0"/>
        <v>#VALUE!</v>
      </c>
    </row>
    <row r="21" spans="1:10" s="216" customFormat="1" ht="12.75">
      <c r="A21" s="718"/>
      <c r="B21" s="593" t="s">
        <v>1409</v>
      </c>
      <c r="C21" s="593"/>
      <c r="D21" s="719" t="s">
        <v>113</v>
      </c>
      <c r="E21" s="719">
        <v>1</v>
      </c>
      <c r="F21" s="853" t="s">
        <v>1403</v>
      </c>
      <c r="G21" s="1008"/>
      <c r="H21" s="223"/>
      <c r="I21" s="237"/>
    </row>
    <row r="22" spans="1:10" s="239" customFormat="1" ht="24.75" customHeight="1">
      <c r="A22" s="578"/>
      <c r="B22" s="717" t="s">
        <v>926</v>
      </c>
      <c r="C22" s="717"/>
      <c r="D22" s="719" t="s">
        <v>113</v>
      </c>
      <c r="E22" s="588"/>
      <c r="F22" s="853"/>
      <c r="G22" s="988"/>
      <c r="I22" s="236">
        <v>362.2</v>
      </c>
      <c r="J22" s="236" t="e">
        <f t="shared" ref="J22:J28" si="1">D22*I22</f>
        <v>#VALUE!</v>
      </c>
    </row>
    <row r="23" spans="1:10" s="239" customFormat="1" ht="28.9" customHeight="1">
      <c r="A23" s="715"/>
      <c r="B23" s="593" t="s">
        <v>1335</v>
      </c>
      <c r="C23" s="593"/>
      <c r="D23" s="719" t="s">
        <v>113</v>
      </c>
      <c r="E23" s="719">
        <v>1</v>
      </c>
      <c r="F23" s="853" t="s">
        <v>1403</v>
      </c>
      <c r="G23" s="1008"/>
      <c r="I23" s="236">
        <v>109.2</v>
      </c>
      <c r="J23" s="236" t="e">
        <f t="shared" si="1"/>
        <v>#VALUE!</v>
      </c>
    </row>
    <row r="24" spans="1:10" s="239" customFormat="1" ht="28.15" customHeight="1">
      <c r="A24" s="718"/>
      <c r="B24" s="593" t="s">
        <v>925</v>
      </c>
      <c r="C24" s="593"/>
      <c r="D24" s="719" t="s">
        <v>113</v>
      </c>
      <c r="E24" s="719">
        <v>1</v>
      </c>
      <c r="F24" s="853"/>
      <c r="G24" s="1008"/>
      <c r="I24" s="236">
        <v>14.01</v>
      </c>
      <c r="J24" s="236" t="e">
        <f t="shared" si="1"/>
        <v>#VALUE!</v>
      </c>
    </row>
    <row r="25" spans="1:10" ht="40.9" customHeight="1">
      <c r="A25" s="718"/>
      <c r="B25" s="593" t="s">
        <v>924</v>
      </c>
      <c r="C25" s="593"/>
      <c r="D25" s="719" t="s">
        <v>113</v>
      </c>
      <c r="E25" s="719">
        <v>1</v>
      </c>
      <c r="F25" s="853"/>
      <c r="G25" s="1008"/>
      <c r="I25" s="236">
        <v>79.23</v>
      </c>
      <c r="J25" s="236" t="e">
        <f t="shared" si="1"/>
        <v>#VALUE!</v>
      </c>
    </row>
    <row r="26" spans="1:10" ht="29.25" customHeight="1">
      <c r="A26" s="588"/>
      <c r="B26" s="593" t="s">
        <v>923</v>
      </c>
      <c r="C26" s="593"/>
      <c r="D26" s="719" t="s">
        <v>113</v>
      </c>
      <c r="E26" s="719">
        <v>1</v>
      </c>
      <c r="F26" s="853"/>
      <c r="G26" s="985"/>
      <c r="I26" s="236">
        <v>118.8</v>
      </c>
      <c r="J26" s="236" t="e">
        <f t="shared" si="1"/>
        <v>#VALUE!</v>
      </c>
    </row>
    <row r="27" spans="1:10" s="216" customFormat="1" ht="42.6" customHeight="1">
      <c r="A27" s="588"/>
      <c r="B27" s="593" t="s">
        <v>1336</v>
      </c>
      <c r="C27" s="593"/>
      <c r="D27" s="719" t="s">
        <v>113</v>
      </c>
      <c r="E27" s="719">
        <v>1</v>
      </c>
      <c r="F27" s="853"/>
      <c r="G27" s="985"/>
      <c r="H27" s="223"/>
      <c r="I27" s="236">
        <v>163.1</v>
      </c>
      <c r="J27" s="236" t="e">
        <f t="shared" si="1"/>
        <v>#VALUE!</v>
      </c>
    </row>
    <row r="28" spans="1:10" s="216" customFormat="1" ht="62.25" customHeight="1">
      <c r="A28" s="715"/>
      <c r="B28" s="589" t="s">
        <v>922</v>
      </c>
      <c r="C28" s="589"/>
      <c r="D28" s="719" t="s">
        <v>113</v>
      </c>
      <c r="E28" s="719">
        <v>1</v>
      </c>
      <c r="F28" s="853"/>
      <c r="G28" s="985"/>
      <c r="H28" s="223"/>
      <c r="I28" s="236">
        <v>150.86000000000001</v>
      </c>
      <c r="J28" s="236" t="e">
        <f t="shared" si="1"/>
        <v>#VALUE!</v>
      </c>
    </row>
    <row r="29" spans="1:10" s="216" customFormat="1" ht="63" customHeight="1">
      <c r="A29" s="715"/>
      <c r="B29" s="593" t="s">
        <v>1337</v>
      </c>
      <c r="C29" s="593"/>
      <c r="D29" s="719" t="s">
        <v>113</v>
      </c>
      <c r="E29" s="719">
        <v>1</v>
      </c>
      <c r="F29" s="853"/>
      <c r="G29" s="985"/>
      <c r="H29" s="223"/>
      <c r="I29" s="237"/>
    </row>
    <row r="30" spans="1:10" s="216" customFormat="1" ht="29.25" customHeight="1">
      <c r="A30" s="578"/>
      <c r="B30" s="717" t="s">
        <v>921</v>
      </c>
      <c r="C30" s="717"/>
      <c r="D30" s="719" t="s">
        <v>113</v>
      </c>
      <c r="E30" s="588"/>
      <c r="F30" s="853"/>
      <c r="G30" s="988"/>
      <c r="H30" s="223"/>
      <c r="I30" s="236">
        <v>16</v>
      </c>
      <c r="J30" s="236" t="e">
        <f t="shared" ref="J30:J38" si="2">D30*I30</f>
        <v>#VALUE!</v>
      </c>
    </row>
    <row r="31" spans="1:10" ht="26.25" customHeight="1">
      <c r="A31" s="578"/>
      <c r="B31" s="593" t="s">
        <v>1338</v>
      </c>
      <c r="C31" s="593"/>
      <c r="D31" s="719" t="s">
        <v>113</v>
      </c>
      <c r="E31" s="719">
        <v>6</v>
      </c>
      <c r="F31" s="853"/>
      <c r="G31" s="985"/>
      <c r="I31" s="236">
        <v>70.33</v>
      </c>
      <c r="J31" s="236" t="e">
        <f t="shared" si="2"/>
        <v>#VALUE!</v>
      </c>
    </row>
    <row r="32" spans="1:10" ht="29.25" customHeight="1">
      <c r="A32" s="588"/>
      <c r="B32" s="593" t="s">
        <v>920</v>
      </c>
      <c r="C32" s="593"/>
      <c r="D32" s="719" t="s">
        <v>113</v>
      </c>
      <c r="E32" s="719">
        <v>6</v>
      </c>
      <c r="F32" s="853"/>
      <c r="G32" s="985"/>
      <c r="I32" s="236">
        <v>150.30000000000001</v>
      </c>
      <c r="J32" s="236" t="e">
        <f t="shared" si="2"/>
        <v>#VALUE!</v>
      </c>
    </row>
    <row r="33" spans="1:12" ht="41.25" customHeight="1">
      <c r="A33" s="588"/>
      <c r="B33" s="593" t="s">
        <v>1339</v>
      </c>
      <c r="C33" s="593"/>
      <c r="D33" s="719" t="s">
        <v>113</v>
      </c>
      <c r="E33" s="719">
        <v>6</v>
      </c>
      <c r="F33" s="853"/>
      <c r="G33" s="985"/>
      <c r="I33" s="236">
        <v>17.13</v>
      </c>
      <c r="J33" s="236" t="e">
        <f t="shared" si="2"/>
        <v>#VALUE!</v>
      </c>
    </row>
    <row r="34" spans="1:12" ht="29.25" customHeight="1">
      <c r="A34" s="588"/>
      <c r="B34" s="593" t="s">
        <v>1340</v>
      </c>
      <c r="C34" s="593"/>
      <c r="D34" s="719" t="s">
        <v>113</v>
      </c>
      <c r="E34" s="719">
        <v>2</v>
      </c>
      <c r="F34" s="853"/>
      <c r="G34" s="985"/>
      <c r="I34" s="236">
        <v>16.18</v>
      </c>
      <c r="J34" s="236" t="e">
        <f t="shared" si="2"/>
        <v>#VALUE!</v>
      </c>
    </row>
    <row r="35" spans="1:12" ht="30.6" customHeight="1">
      <c r="A35" s="578"/>
      <c r="B35" s="593" t="s">
        <v>1410</v>
      </c>
      <c r="C35" s="590"/>
      <c r="D35" s="719" t="s">
        <v>113</v>
      </c>
      <c r="E35" s="719">
        <v>1</v>
      </c>
      <c r="F35" s="853"/>
      <c r="G35" s="985"/>
      <c r="I35" s="236">
        <v>9.25</v>
      </c>
      <c r="J35" s="236" t="e">
        <f t="shared" si="2"/>
        <v>#VALUE!</v>
      </c>
    </row>
    <row r="36" spans="1:12" ht="30.6" customHeight="1">
      <c r="A36" s="588"/>
      <c r="B36" s="593" t="s">
        <v>1344</v>
      </c>
      <c r="C36" s="593"/>
      <c r="D36" s="719" t="s">
        <v>113</v>
      </c>
      <c r="E36" s="719">
        <v>3</v>
      </c>
      <c r="F36" s="853"/>
      <c r="G36" s="985"/>
      <c r="I36" s="236">
        <v>9.25</v>
      </c>
      <c r="J36" s="236" t="e">
        <f t="shared" si="2"/>
        <v>#VALUE!</v>
      </c>
    </row>
    <row r="37" spans="1:12" s="216" customFormat="1" ht="16.899999999999999" customHeight="1">
      <c r="A37" s="588"/>
      <c r="B37" s="593" t="s">
        <v>1342</v>
      </c>
      <c r="C37" s="593"/>
      <c r="D37" s="719" t="s">
        <v>113</v>
      </c>
      <c r="E37" s="719">
        <v>1</v>
      </c>
      <c r="F37" s="853"/>
      <c r="G37" s="985"/>
      <c r="H37" s="223"/>
      <c r="I37" s="236">
        <v>3.16</v>
      </c>
      <c r="J37" s="236" t="e">
        <f t="shared" si="2"/>
        <v>#VALUE!</v>
      </c>
    </row>
    <row r="38" spans="1:12" s="216" customFormat="1" ht="17.45" customHeight="1">
      <c r="A38" s="578"/>
      <c r="B38" s="593" t="s">
        <v>1411</v>
      </c>
      <c r="C38" s="593"/>
      <c r="D38" s="719" t="s">
        <v>113</v>
      </c>
      <c r="E38" s="719">
        <v>2</v>
      </c>
      <c r="F38" s="853"/>
      <c r="G38" s="985"/>
      <c r="H38" s="223"/>
      <c r="I38" s="236">
        <v>3.16</v>
      </c>
      <c r="J38" s="236" t="e">
        <f t="shared" si="2"/>
        <v>#VALUE!</v>
      </c>
    </row>
    <row r="39" spans="1:12" s="216" customFormat="1" ht="12.75">
      <c r="A39" s="578"/>
      <c r="B39" s="717" t="s">
        <v>917</v>
      </c>
      <c r="C39" s="717"/>
      <c r="D39" s="719" t="s">
        <v>113</v>
      </c>
      <c r="E39" s="588"/>
      <c r="F39" s="853"/>
      <c r="G39" s="988"/>
      <c r="H39" s="223"/>
      <c r="I39" s="237"/>
    </row>
    <row r="40" spans="1:12" s="216" customFormat="1" ht="81.75" customHeight="1">
      <c r="A40" s="578"/>
      <c r="B40" s="579" t="s">
        <v>916</v>
      </c>
      <c r="C40" s="579"/>
      <c r="D40" s="719" t="s">
        <v>113</v>
      </c>
      <c r="E40" s="719">
        <v>1</v>
      </c>
      <c r="F40" s="853"/>
      <c r="G40" s="985"/>
      <c r="H40" s="223"/>
      <c r="I40" s="236">
        <v>49.2</v>
      </c>
      <c r="J40" s="236" t="e">
        <f t="shared" ref="J40:J51" si="3">D40*I40</f>
        <v>#VALUE!</v>
      </c>
    </row>
    <row r="41" spans="1:12" ht="15.75" customHeight="1">
      <c r="A41" s="588"/>
      <c r="B41" s="594" t="s">
        <v>1412</v>
      </c>
      <c r="C41" s="594"/>
      <c r="D41" s="720" t="s">
        <v>93</v>
      </c>
      <c r="E41" s="720">
        <v>1</v>
      </c>
      <c r="F41" s="872"/>
      <c r="G41" s="1009">
        <f>ROUND(ROUND(E41,2)*ROUND(F41,2),2)</f>
        <v>0</v>
      </c>
      <c r="I41" s="236">
        <v>16.18</v>
      </c>
      <c r="J41" s="236" t="e">
        <f t="shared" si="3"/>
        <v>#VALUE!</v>
      </c>
    </row>
    <row r="42" spans="1:12" ht="11.25" customHeight="1">
      <c r="A42" s="578"/>
      <c r="B42" s="593"/>
      <c r="C42" s="580"/>
      <c r="D42" s="588"/>
      <c r="E42" s="588"/>
      <c r="F42" s="855"/>
      <c r="G42" s="988"/>
      <c r="I42" s="236">
        <v>9.25</v>
      </c>
      <c r="J42" s="236">
        <f t="shared" si="3"/>
        <v>0</v>
      </c>
    </row>
    <row r="43" spans="1:12" ht="132.75" customHeight="1">
      <c r="A43" s="578">
        <v>2</v>
      </c>
      <c r="B43" s="721" t="s">
        <v>1413</v>
      </c>
      <c r="C43" s="580"/>
      <c r="D43" s="715"/>
      <c r="E43" s="716"/>
      <c r="F43" s="871"/>
      <c r="G43" s="1007"/>
      <c r="I43" s="236">
        <v>9.25</v>
      </c>
      <c r="J43" s="236">
        <f t="shared" si="3"/>
        <v>0</v>
      </c>
    </row>
    <row r="44" spans="1:12" s="238" customFormat="1" ht="30.6" customHeight="1">
      <c r="A44" s="718"/>
      <c r="B44" s="593" t="s">
        <v>934</v>
      </c>
      <c r="C44" s="593"/>
      <c r="D44" s="719" t="s">
        <v>113</v>
      </c>
      <c r="E44" s="719">
        <v>1</v>
      </c>
      <c r="F44" s="853" t="s">
        <v>1403</v>
      </c>
      <c r="G44" s="1008"/>
      <c r="H44" s="229"/>
      <c r="I44" s="236">
        <v>11.78</v>
      </c>
      <c r="J44" s="236" t="e">
        <f t="shared" si="3"/>
        <v>#VALUE!</v>
      </c>
      <c r="L44" s="228"/>
    </row>
    <row r="45" spans="1:12" s="238" customFormat="1" ht="43.15" customHeight="1">
      <c r="A45" s="718"/>
      <c r="B45" s="593" t="s">
        <v>933</v>
      </c>
      <c r="C45" s="593"/>
      <c r="D45" s="719" t="s">
        <v>113</v>
      </c>
      <c r="E45" s="719">
        <v>1</v>
      </c>
      <c r="F45" s="853" t="s">
        <v>1403</v>
      </c>
      <c r="G45" s="1008"/>
      <c r="H45" s="229"/>
      <c r="I45" s="236">
        <v>26.36</v>
      </c>
      <c r="J45" s="236" t="e">
        <f t="shared" si="3"/>
        <v>#VALUE!</v>
      </c>
    </row>
    <row r="46" spans="1:12" s="216" customFormat="1" ht="28.9" customHeight="1">
      <c r="A46" s="718"/>
      <c r="B46" s="593" t="s">
        <v>932</v>
      </c>
      <c r="C46" s="593"/>
      <c r="D46" s="719" t="s">
        <v>113</v>
      </c>
      <c r="E46" s="719">
        <v>1</v>
      </c>
      <c r="F46" s="853" t="s">
        <v>1403</v>
      </c>
      <c r="G46" s="1008"/>
      <c r="I46" s="236">
        <v>41.98</v>
      </c>
      <c r="J46" s="236" t="e">
        <f t="shared" si="3"/>
        <v>#VALUE!</v>
      </c>
    </row>
    <row r="47" spans="1:12" s="216" customFormat="1" ht="28.5" customHeight="1">
      <c r="A47" s="578"/>
      <c r="B47" s="593" t="s">
        <v>1404</v>
      </c>
      <c r="C47" s="580"/>
      <c r="D47" s="719" t="s">
        <v>113</v>
      </c>
      <c r="E47" s="719">
        <v>1</v>
      </c>
      <c r="F47" s="853"/>
      <c r="G47" s="988"/>
      <c r="H47" s="223"/>
      <c r="I47" s="236">
        <v>17.760000000000002</v>
      </c>
      <c r="J47" s="236" t="e">
        <f t="shared" si="3"/>
        <v>#VALUE!</v>
      </c>
    </row>
    <row r="48" spans="1:12" s="216" customFormat="1" ht="15" customHeight="1">
      <c r="A48" s="578"/>
      <c r="B48" s="593" t="s">
        <v>1405</v>
      </c>
      <c r="C48" s="580"/>
      <c r="D48" s="719" t="s">
        <v>113</v>
      </c>
      <c r="E48" s="719">
        <v>1</v>
      </c>
      <c r="F48" s="853"/>
      <c r="G48" s="988"/>
      <c r="I48" s="236">
        <v>0.18</v>
      </c>
      <c r="J48" s="236" t="e">
        <f t="shared" si="3"/>
        <v>#VALUE!</v>
      </c>
    </row>
    <row r="49" spans="1:10" s="216" customFormat="1" ht="43.5" customHeight="1">
      <c r="A49" s="715"/>
      <c r="B49" s="593" t="s">
        <v>1414</v>
      </c>
      <c r="C49" s="722">
        <v>1</v>
      </c>
      <c r="D49" s="719" t="s">
        <v>113</v>
      </c>
      <c r="E49" s="719">
        <v>1</v>
      </c>
      <c r="F49" s="853"/>
      <c r="G49" s="1008"/>
      <c r="H49" s="223"/>
      <c r="I49" s="236">
        <v>3.16</v>
      </c>
      <c r="J49" s="236" t="e">
        <f t="shared" si="3"/>
        <v>#VALUE!</v>
      </c>
    </row>
    <row r="50" spans="1:10" s="216" customFormat="1" ht="15.75" customHeight="1">
      <c r="A50" s="578"/>
      <c r="B50" s="579" t="s">
        <v>1415</v>
      </c>
      <c r="C50" s="580"/>
      <c r="D50" s="719" t="s">
        <v>113</v>
      </c>
      <c r="E50" s="719">
        <v>3</v>
      </c>
      <c r="F50" s="853"/>
      <c r="G50" s="985"/>
      <c r="H50" s="223"/>
      <c r="I50" s="236">
        <v>3.16</v>
      </c>
      <c r="J50" s="236" t="e">
        <f t="shared" si="3"/>
        <v>#VALUE!</v>
      </c>
    </row>
    <row r="51" spans="1:10" s="216" customFormat="1" ht="42" customHeight="1">
      <c r="A51" s="715"/>
      <c r="B51" s="593" t="s">
        <v>1416</v>
      </c>
      <c r="C51" s="719">
        <v>1</v>
      </c>
      <c r="D51" s="719" t="s">
        <v>113</v>
      </c>
      <c r="E51" s="719">
        <v>1</v>
      </c>
      <c r="F51" s="853"/>
      <c r="G51" s="985"/>
      <c r="H51" s="223"/>
      <c r="I51" s="236">
        <v>4.87</v>
      </c>
      <c r="J51" s="236" t="e">
        <f t="shared" si="3"/>
        <v>#VALUE!</v>
      </c>
    </row>
    <row r="52" spans="1:10" s="216" customFormat="1" ht="26.25" customHeight="1">
      <c r="A52" s="578"/>
      <c r="B52" s="723" t="s">
        <v>1417</v>
      </c>
      <c r="C52" s="590"/>
      <c r="D52" s="719" t="s">
        <v>113</v>
      </c>
      <c r="E52" s="719">
        <v>1</v>
      </c>
      <c r="F52" s="853"/>
      <c r="G52" s="985"/>
      <c r="H52" s="223"/>
      <c r="I52" s="237"/>
    </row>
    <row r="53" spans="1:10" s="216" customFormat="1" ht="35.25" customHeight="1">
      <c r="A53" s="578"/>
      <c r="B53" s="723" t="s">
        <v>1418</v>
      </c>
      <c r="C53" s="590"/>
      <c r="D53" s="719" t="s">
        <v>113</v>
      </c>
      <c r="E53" s="719">
        <v>1</v>
      </c>
      <c r="F53" s="853"/>
      <c r="G53" s="985"/>
      <c r="H53" s="223"/>
      <c r="I53" s="236"/>
      <c r="J53" s="236">
        <v>1250</v>
      </c>
    </row>
    <row r="54" spans="1:10" s="216" customFormat="1" ht="28.5" customHeight="1">
      <c r="A54" s="588"/>
      <c r="B54" s="593" t="s">
        <v>1343</v>
      </c>
      <c r="C54" s="593"/>
      <c r="D54" s="719" t="s">
        <v>113</v>
      </c>
      <c r="E54" s="719">
        <v>1</v>
      </c>
      <c r="F54" s="853"/>
      <c r="G54" s="985"/>
      <c r="H54" s="223"/>
      <c r="I54" s="236"/>
      <c r="J54" s="236"/>
    </row>
    <row r="55" spans="1:10" s="216" customFormat="1" ht="31.5" customHeight="1">
      <c r="A55" s="588"/>
      <c r="B55" s="593" t="s">
        <v>1341</v>
      </c>
      <c r="C55" s="593"/>
      <c r="D55" s="719" t="s">
        <v>113</v>
      </c>
      <c r="E55" s="719">
        <v>7</v>
      </c>
      <c r="F55" s="853"/>
      <c r="G55" s="985"/>
      <c r="H55" s="223"/>
      <c r="I55" s="236"/>
      <c r="J55" s="236"/>
    </row>
    <row r="56" spans="1:10" s="216" customFormat="1" ht="27.75" customHeight="1">
      <c r="A56" s="588"/>
      <c r="B56" s="593" t="s">
        <v>1344</v>
      </c>
      <c r="C56" s="593"/>
      <c r="D56" s="719" t="s">
        <v>113</v>
      </c>
      <c r="E56" s="719">
        <v>6</v>
      </c>
      <c r="F56" s="853"/>
      <c r="G56" s="985"/>
      <c r="H56" s="223"/>
      <c r="I56" s="236"/>
      <c r="J56" s="236"/>
    </row>
    <row r="57" spans="1:10" s="216" customFormat="1" ht="31.5" customHeight="1">
      <c r="A57" s="588"/>
      <c r="B57" s="593" t="s">
        <v>1342</v>
      </c>
      <c r="C57" s="593"/>
      <c r="D57" s="719" t="s">
        <v>113</v>
      </c>
      <c r="E57" s="719">
        <v>4</v>
      </c>
      <c r="F57" s="853"/>
      <c r="G57" s="985"/>
      <c r="H57" s="223"/>
      <c r="I57" s="236"/>
      <c r="J57" s="236"/>
    </row>
    <row r="58" spans="1:10" s="216" customFormat="1" ht="30.75" customHeight="1">
      <c r="A58" s="578"/>
      <c r="B58" s="593" t="s">
        <v>1419</v>
      </c>
      <c r="C58" s="590"/>
      <c r="D58" s="719" t="s">
        <v>113</v>
      </c>
      <c r="E58" s="719">
        <v>3</v>
      </c>
      <c r="F58" s="853"/>
      <c r="G58" s="985"/>
      <c r="H58" s="223"/>
      <c r="I58" s="236"/>
      <c r="J58" s="236"/>
    </row>
    <row r="59" spans="1:10" s="216" customFormat="1" ht="44.25" customHeight="1">
      <c r="A59" s="578"/>
      <c r="B59" s="593" t="s">
        <v>1345</v>
      </c>
      <c r="C59" s="590"/>
      <c r="D59" s="719" t="s">
        <v>113</v>
      </c>
      <c r="E59" s="719">
        <v>3</v>
      </c>
      <c r="F59" s="853"/>
      <c r="G59" s="985"/>
      <c r="H59" s="223"/>
      <c r="I59" s="236"/>
      <c r="J59" s="236"/>
    </row>
    <row r="60" spans="1:10" s="216" customFormat="1" ht="26.25" customHeight="1">
      <c r="A60" s="578"/>
      <c r="B60" s="579" t="s">
        <v>919</v>
      </c>
      <c r="C60" s="590"/>
      <c r="D60" s="719" t="s">
        <v>113</v>
      </c>
      <c r="E60" s="719">
        <v>1</v>
      </c>
      <c r="F60" s="853"/>
      <c r="G60" s="985"/>
      <c r="H60" s="223"/>
      <c r="I60" s="236"/>
      <c r="J60" s="236"/>
    </row>
    <row r="61" spans="1:10" s="216" customFormat="1" ht="27.75" customHeight="1">
      <c r="A61" s="578"/>
      <c r="B61" s="579" t="s">
        <v>1346</v>
      </c>
      <c r="C61" s="579"/>
      <c r="D61" s="719" t="s">
        <v>113</v>
      </c>
      <c r="E61" s="719">
        <v>2</v>
      </c>
      <c r="F61" s="855"/>
      <c r="G61" s="988"/>
      <c r="H61" s="223"/>
      <c r="I61" s="236"/>
      <c r="J61" s="236"/>
    </row>
    <row r="62" spans="1:10" s="216" customFormat="1" ht="11.25" customHeight="1">
      <c r="A62" s="578"/>
      <c r="B62" s="579" t="s">
        <v>918</v>
      </c>
      <c r="C62" s="579"/>
      <c r="D62" s="719" t="s">
        <v>113</v>
      </c>
      <c r="E62" s="719">
        <v>10</v>
      </c>
      <c r="F62" s="855"/>
      <c r="G62" s="988"/>
      <c r="H62" s="223"/>
      <c r="I62" s="236"/>
      <c r="J62" s="236"/>
    </row>
    <row r="63" spans="1:10" s="216" customFormat="1" ht="30" customHeight="1">
      <c r="A63" s="578"/>
      <c r="B63" s="593" t="s">
        <v>1420</v>
      </c>
      <c r="C63" s="593"/>
      <c r="D63" s="719" t="s">
        <v>113</v>
      </c>
      <c r="E63" s="719">
        <v>5</v>
      </c>
      <c r="F63" s="853"/>
      <c r="G63" s="985"/>
      <c r="H63" s="223"/>
      <c r="I63" s="236"/>
      <c r="J63" s="236"/>
    </row>
    <row r="64" spans="1:10" s="216" customFormat="1" ht="30.75" customHeight="1">
      <c r="A64" s="578"/>
      <c r="B64" s="593" t="s">
        <v>1411</v>
      </c>
      <c r="C64" s="593"/>
      <c r="D64" s="719" t="s">
        <v>113</v>
      </c>
      <c r="E64" s="719">
        <v>20</v>
      </c>
      <c r="F64" s="853"/>
      <c r="G64" s="985"/>
      <c r="H64" s="223"/>
      <c r="I64" s="236"/>
      <c r="J64" s="236"/>
    </row>
    <row r="65" spans="1:10" s="216" customFormat="1" ht="15.75" customHeight="1">
      <c r="A65" s="578"/>
      <c r="B65" s="579" t="s">
        <v>1347</v>
      </c>
      <c r="C65" s="579"/>
      <c r="D65" s="719" t="s">
        <v>113</v>
      </c>
      <c r="E65" s="719">
        <v>2</v>
      </c>
      <c r="F65" s="853"/>
      <c r="G65" s="985"/>
      <c r="H65" s="223"/>
      <c r="I65" s="236"/>
      <c r="J65" s="236"/>
    </row>
    <row r="66" spans="1:10" s="216" customFormat="1" ht="20.25" customHeight="1">
      <c r="A66" s="718"/>
      <c r="B66" s="593" t="s">
        <v>1333</v>
      </c>
      <c r="C66" s="719">
        <v>4</v>
      </c>
      <c r="D66" s="719" t="s">
        <v>113</v>
      </c>
      <c r="E66" s="719">
        <v>2</v>
      </c>
      <c r="F66" s="853"/>
      <c r="G66" s="1008"/>
      <c r="H66" s="223"/>
      <c r="I66" s="236"/>
      <c r="J66" s="236"/>
    </row>
    <row r="67" spans="1:10" s="216" customFormat="1" ht="18.75" customHeight="1">
      <c r="A67" s="718"/>
      <c r="B67" s="593" t="s">
        <v>1421</v>
      </c>
      <c r="C67" s="719">
        <v>2</v>
      </c>
      <c r="D67" s="719" t="s">
        <v>113</v>
      </c>
      <c r="E67" s="719">
        <v>2</v>
      </c>
      <c r="F67" s="853"/>
      <c r="G67" s="1008"/>
      <c r="H67" s="223"/>
      <c r="I67" s="236"/>
      <c r="J67" s="236"/>
    </row>
    <row r="68" spans="1:10" s="216" customFormat="1" ht="83.25" customHeight="1">
      <c r="A68" s="578"/>
      <c r="B68" s="579" t="s">
        <v>916</v>
      </c>
      <c r="C68" s="579"/>
      <c r="D68" s="719" t="s">
        <v>113</v>
      </c>
      <c r="E68" s="719">
        <v>1</v>
      </c>
      <c r="F68" s="853"/>
      <c r="G68" s="985"/>
      <c r="H68" s="223"/>
      <c r="I68" s="236"/>
      <c r="J68" s="236"/>
    </row>
    <row r="69" spans="1:10" s="216" customFormat="1" ht="18" customHeight="1">
      <c r="A69" s="588"/>
      <c r="B69" s="594" t="s">
        <v>1422</v>
      </c>
      <c r="C69" s="594"/>
      <c r="D69" s="720" t="s">
        <v>93</v>
      </c>
      <c r="E69" s="720">
        <v>1</v>
      </c>
      <c r="F69" s="872"/>
      <c r="G69" s="1009">
        <f>ROUND(ROUND(E69,2)*ROUND(F69,2),2)</f>
        <v>0</v>
      </c>
      <c r="H69" s="223"/>
      <c r="I69" s="236"/>
      <c r="J69" s="236"/>
    </row>
    <row r="70" spans="1:10">
      <c r="A70" s="588"/>
      <c r="B70" s="589"/>
      <c r="C70" s="590"/>
      <c r="D70" s="588"/>
      <c r="E70" s="588"/>
      <c r="F70" s="853"/>
      <c r="G70" s="985"/>
      <c r="I70" s="222"/>
    </row>
    <row r="71" spans="1:10" ht="15" thickBot="1">
      <c r="A71" s="724" t="s">
        <v>805</v>
      </c>
      <c r="B71" s="599"/>
      <c r="C71" s="600"/>
      <c r="D71" s="601"/>
      <c r="E71" s="602"/>
      <c r="F71" s="857"/>
      <c r="G71" s="1010">
        <f>ROUND(SUM(G1:G70),0)</f>
        <v>0</v>
      </c>
      <c r="I71" s="222"/>
    </row>
    <row r="72" spans="1:10">
      <c r="A72" s="216"/>
      <c r="D72" s="216"/>
      <c r="E72" s="216"/>
      <c r="F72" s="858"/>
      <c r="G72" s="990"/>
      <c r="I72" s="222"/>
    </row>
    <row r="73" spans="1:10">
      <c r="A73" s="216"/>
      <c r="D73" s="216"/>
      <c r="E73" s="216"/>
      <c r="F73" s="858"/>
      <c r="G73" s="990"/>
      <c r="I73" s="216"/>
    </row>
    <row r="74" spans="1:10">
      <c r="A74" s="216"/>
      <c r="D74" s="216"/>
      <c r="E74" s="216"/>
      <c r="F74" s="858"/>
      <c r="G74" s="990"/>
      <c r="I74" s="216"/>
    </row>
    <row r="75" spans="1:10">
      <c r="A75" s="216"/>
      <c r="D75" s="216"/>
      <c r="E75" s="216"/>
      <c r="F75" s="858"/>
      <c r="G75" s="990"/>
      <c r="I75" s="216"/>
    </row>
    <row r="76" spans="1:10">
      <c r="A76" s="216"/>
      <c r="D76" s="216"/>
      <c r="E76" s="216"/>
      <c r="F76" s="858"/>
      <c r="G76" s="990"/>
      <c r="I76" s="216"/>
    </row>
    <row r="77" spans="1:10">
      <c r="A77" s="216"/>
      <c r="D77" s="216"/>
      <c r="E77" s="216"/>
      <c r="F77" s="858"/>
      <c r="G77" s="990"/>
      <c r="I77" s="216"/>
    </row>
    <row r="78" spans="1:10">
      <c r="A78" s="216"/>
      <c r="D78" s="216"/>
      <c r="E78" s="216"/>
      <c r="F78" s="858"/>
      <c r="G78" s="990"/>
      <c r="I78" s="216"/>
    </row>
    <row r="79" spans="1:10">
      <c r="A79" s="216"/>
      <c r="D79" s="216"/>
      <c r="E79" s="216"/>
      <c r="F79" s="858"/>
      <c r="G79" s="990"/>
      <c r="I79" s="216"/>
    </row>
    <row r="80" spans="1:10">
      <c r="A80" s="216"/>
      <c r="D80" s="216"/>
      <c r="E80" s="216"/>
      <c r="F80" s="858"/>
      <c r="G80" s="990"/>
      <c r="I80" s="216"/>
    </row>
    <row r="81" spans="1:9">
      <c r="A81" s="216"/>
      <c r="D81" s="216"/>
      <c r="E81" s="216"/>
      <c r="F81" s="858"/>
      <c r="G81" s="990"/>
      <c r="I81" s="216"/>
    </row>
    <row r="82" spans="1:9">
      <c r="A82" s="216"/>
      <c r="D82" s="216"/>
      <c r="E82" s="216"/>
      <c r="F82" s="858"/>
      <c r="G82" s="990"/>
      <c r="I82" s="216"/>
    </row>
    <row r="83" spans="1:9">
      <c r="A83" s="216"/>
      <c r="D83" s="216"/>
      <c r="E83" s="216"/>
      <c r="F83" s="858"/>
      <c r="G83" s="990"/>
      <c r="I83" s="216"/>
    </row>
    <row r="84" spans="1:9">
      <c r="A84" s="216"/>
      <c r="D84" s="216"/>
      <c r="E84" s="216"/>
      <c r="F84" s="858"/>
      <c r="G84" s="990"/>
      <c r="I84" s="216"/>
    </row>
    <row r="85" spans="1:9">
      <c r="A85" s="216"/>
      <c r="D85" s="216"/>
      <c r="E85" s="216"/>
      <c r="F85" s="858"/>
      <c r="G85" s="990"/>
      <c r="I85" s="216"/>
    </row>
    <row r="86" spans="1:9">
      <c r="A86" s="216"/>
      <c r="D86" s="216"/>
      <c r="E86" s="216"/>
      <c r="F86" s="858"/>
      <c r="G86" s="990"/>
      <c r="I86" s="216"/>
    </row>
    <row r="87" spans="1:9">
      <c r="A87" s="216"/>
      <c r="D87" s="216"/>
      <c r="E87" s="216"/>
      <c r="F87" s="858"/>
      <c r="G87" s="990"/>
      <c r="I87" s="216"/>
    </row>
    <row r="88" spans="1:9">
      <c r="A88" s="216"/>
      <c r="D88" s="216"/>
      <c r="E88" s="216"/>
      <c r="F88" s="858"/>
      <c r="G88" s="990"/>
      <c r="I88" s="216"/>
    </row>
    <row r="89" spans="1:9">
      <c r="A89" s="216"/>
      <c r="D89" s="216"/>
      <c r="E89" s="216"/>
      <c r="F89" s="858"/>
      <c r="G89" s="990"/>
      <c r="I89" s="216"/>
    </row>
    <row r="90" spans="1:9">
      <c r="A90" s="216"/>
      <c r="D90" s="216"/>
      <c r="E90" s="216"/>
      <c r="F90" s="858"/>
      <c r="G90" s="990"/>
      <c r="I90" s="216"/>
    </row>
    <row r="91" spans="1:9">
      <c r="A91" s="216"/>
      <c r="D91" s="216"/>
      <c r="E91" s="216"/>
      <c r="F91" s="858"/>
      <c r="G91" s="990"/>
      <c r="I91" s="216"/>
    </row>
    <row r="92" spans="1:9">
      <c r="A92" s="216"/>
      <c r="D92" s="216"/>
      <c r="E92" s="216"/>
      <c r="F92" s="858"/>
      <c r="G92" s="990"/>
      <c r="I92" s="216"/>
    </row>
    <row r="93" spans="1:9">
      <c r="A93" s="216"/>
      <c r="D93" s="216"/>
      <c r="E93" s="216"/>
      <c r="F93" s="858"/>
      <c r="G93" s="990"/>
      <c r="I93" s="216"/>
    </row>
    <row r="94" spans="1:9">
      <c r="A94" s="216"/>
      <c r="D94" s="216"/>
      <c r="E94" s="216"/>
      <c r="F94" s="858"/>
      <c r="G94" s="990"/>
      <c r="I94" s="216"/>
    </row>
    <row r="95" spans="1:9">
      <c r="A95" s="216"/>
      <c r="D95" s="216"/>
      <c r="E95" s="216"/>
      <c r="F95" s="858"/>
      <c r="G95" s="990"/>
      <c r="I95" s="216"/>
    </row>
    <row r="96" spans="1:9">
      <c r="A96" s="216"/>
      <c r="D96" s="216"/>
      <c r="E96" s="216"/>
      <c r="F96" s="858"/>
      <c r="G96" s="990"/>
      <c r="I96" s="216"/>
    </row>
    <row r="97" spans="1:9">
      <c r="A97" s="216"/>
      <c r="D97" s="216"/>
      <c r="E97" s="216"/>
      <c r="F97" s="858"/>
      <c r="G97" s="990"/>
      <c r="I97" s="216"/>
    </row>
    <row r="98" spans="1:9">
      <c r="A98" s="216"/>
      <c r="D98" s="216"/>
      <c r="E98" s="216"/>
      <c r="F98" s="858"/>
      <c r="G98" s="990"/>
      <c r="I98" s="216"/>
    </row>
    <row r="99" spans="1:9">
      <c r="A99" s="216"/>
      <c r="D99" s="216"/>
      <c r="E99" s="216"/>
      <c r="F99" s="858"/>
      <c r="G99" s="990"/>
      <c r="I99" s="216"/>
    </row>
    <row r="100" spans="1:9">
      <c r="A100" s="216"/>
      <c r="D100" s="216"/>
      <c r="E100" s="216"/>
      <c r="F100" s="858"/>
      <c r="G100" s="990"/>
      <c r="I100" s="216"/>
    </row>
    <row r="101" spans="1:9">
      <c r="A101" s="216"/>
      <c r="D101" s="216"/>
      <c r="E101" s="216"/>
      <c r="F101" s="858"/>
      <c r="G101" s="990"/>
      <c r="I101" s="216"/>
    </row>
    <row r="102" spans="1:9">
      <c r="A102" s="216"/>
      <c r="D102" s="216"/>
      <c r="E102" s="216"/>
      <c r="F102" s="858"/>
      <c r="G102" s="990"/>
      <c r="I102" s="216"/>
    </row>
    <row r="103" spans="1:9">
      <c r="A103" s="216"/>
      <c r="D103" s="216"/>
      <c r="E103" s="216"/>
      <c r="F103" s="858"/>
      <c r="G103" s="990"/>
      <c r="I103" s="216"/>
    </row>
    <row r="104" spans="1:9">
      <c r="A104" s="216"/>
      <c r="D104" s="216"/>
      <c r="E104" s="216"/>
      <c r="F104" s="858"/>
      <c r="G104" s="990"/>
      <c r="I104" s="216"/>
    </row>
    <row r="105" spans="1:9">
      <c r="A105" s="216"/>
      <c r="D105" s="216"/>
      <c r="E105" s="216"/>
      <c r="F105" s="858"/>
      <c r="G105" s="990"/>
      <c r="I105" s="216"/>
    </row>
    <row r="106" spans="1:9">
      <c r="A106" s="216"/>
      <c r="D106" s="216"/>
      <c r="E106" s="216"/>
      <c r="F106" s="858"/>
      <c r="G106" s="990"/>
      <c r="I106" s="216"/>
    </row>
    <row r="107" spans="1:9">
      <c r="A107" s="216"/>
      <c r="D107" s="216"/>
      <c r="E107" s="216"/>
      <c r="F107" s="858"/>
      <c r="G107" s="990"/>
      <c r="I107" s="216"/>
    </row>
    <row r="108" spans="1:9">
      <c r="A108" s="216"/>
      <c r="D108" s="216"/>
      <c r="E108" s="216"/>
      <c r="F108" s="858"/>
      <c r="G108" s="990"/>
      <c r="I108" s="216"/>
    </row>
    <row r="109" spans="1:9">
      <c r="A109" s="216"/>
      <c r="D109" s="216"/>
      <c r="E109" s="216"/>
      <c r="F109" s="858"/>
      <c r="G109" s="990"/>
      <c r="I109" s="216"/>
    </row>
    <row r="110" spans="1:9">
      <c r="A110" s="216"/>
      <c r="D110" s="216"/>
      <c r="E110" s="216"/>
      <c r="F110" s="858"/>
      <c r="G110" s="990"/>
      <c r="I110" s="216"/>
    </row>
    <row r="111" spans="1:9">
      <c r="A111" s="216"/>
      <c r="D111" s="216"/>
      <c r="E111" s="216"/>
      <c r="F111" s="858"/>
      <c r="G111" s="990"/>
      <c r="I111" s="216"/>
    </row>
    <row r="112" spans="1:9">
      <c r="A112" s="216"/>
      <c r="D112" s="216"/>
      <c r="E112" s="216"/>
      <c r="F112" s="858"/>
      <c r="G112" s="990"/>
      <c r="I112" s="216"/>
    </row>
    <row r="113" spans="1:9">
      <c r="A113" s="216"/>
      <c r="D113" s="216"/>
      <c r="E113" s="216"/>
      <c r="F113" s="858"/>
      <c r="G113" s="990"/>
      <c r="I113" s="216"/>
    </row>
    <row r="114" spans="1:9">
      <c r="A114" s="216"/>
      <c r="D114" s="216"/>
      <c r="E114" s="216"/>
      <c r="F114" s="858"/>
      <c r="G114" s="990"/>
      <c r="I114" s="216"/>
    </row>
    <row r="115" spans="1:9">
      <c r="A115" s="216"/>
      <c r="D115" s="216"/>
      <c r="E115" s="216"/>
      <c r="F115" s="858"/>
      <c r="G115" s="990"/>
      <c r="I115" s="216"/>
    </row>
    <row r="116" spans="1:9">
      <c r="A116" s="216"/>
      <c r="D116" s="216"/>
      <c r="E116" s="216"/>
      <c r="F116" s="858"/>
      <c r="G116" s="990"/>
      <c r="I116" s="216"/>
    </row>
    <row r="117" spans="1:9" ht="52.5" customHeight="1">
      <c r="A117" s="216"/>
      <c r="D117" s="216"/>
      <c r="E117" s="216"/>
      <c r="F117" s="858"/>
      <c r="G117" s="990"/>
      <c r="I117" s="216"/>
    </row>
    <row r="118" spans="1:9">
      <c r="A118" s="216"/>
      <c r="D118" s="216"/>
      <c r="E118" s="216"/>
      <c r="F118" s="858"/>
      <c r="G118" s="990"/>
      <c r="I118" s="216"/>
    </row>
    <row r="119" spans="1:9">
      <c r="A119" s="216"/>
      <c r="D119" s="216"/>
      <c r="E119" s="216"/>
      <c r="F119" s="858"/>
      <c r="G119" s="990"/>
      <c r="I119" s="216"/>
    </row>
    <row r="120" spans="1:9">
      <c r="A120" s="216"/>
      <c r="D120" s="216"/>
      <c r="E120" s="216"/>
      <c r="F120" s="858"/>
      <c r="G120" s="990"/>
      <c r="I120" s="216"/>
    </row>
    <row r="121" spans="1:9">
      <c r="A121" s="216"/>
      <c r="D121" s="216"/>
      <c r="E121" s="216"/>
      <c r="F121" s="858"/>
      <c r="G121" s="990"/>
      <c r="I121" s="216"/>
    </row>
    <row r="122" spans="1:9">
      <c r="A122" s="216"/>
      <c r="D122" s="216"/>
      <c r="E122" s="216"/>
      <c r="F122" s="858"/>
      <c r="G122" s="990"/>
      <c r="I122" s="216"/>
    </row>
    <row r="123" spans="1:9">
      <c r="A123" s="216"/>
      <c r="D123" s="216"/>
      <c r="E123" s="216"/>
      <c r="F123" s="858"/>
      <c r="G123" s="990"/>
      <c r="I123" s="216"/>
    </row>
    <row r="124" spans="1:9">
      <c r="A124" s="216"/>
      <c r="D124" s="216"/>
      <c r="E124" s="216"/>
      <c r="F124" s="858"/>
      <c r="G124" s="990"/>
      <c r="I124" s="216"/>
    </row>
    <row r="125" spans="1:9">
      <c r="A125" s="216"/>
      <c r="D125" s="216"/>
      <c r="E125" s="216"/>
      <c r="F125" s="858"/>
      <c r="G125" s="990"/>
      <c r="I125" s="216"/>
    </row>
    <row r="126" spans="1:9">
      <c r="A126" s="216"/>
      <c r="D126" s="216"/>
      <c r="E126" s="216"/>
      <c r="F126" s="858"/>
      <c r="G126" s="990"/>
      <c r="I126" s="216"/>
    </row>
    <row r="127" spans="1:9">
      <c r="A127" s="216"/>
      <c r="D127" s="216"/>
      <c r="E127" s="216"/>
      <c r="F127" s="858"/>
      <c r="G127" s="990"/>
      <c r="I127" s="216"/>
    </row>
    <row r="128" spans="1:9">
      <c r="A128" s="216"/>
      <c r="D128" s="216"/>
      <c r="E128" s="216"/>
      <c r="F128" s="858"/>
      <c r="G128" s="990"/>
      <c r="I128" s="216"/>
    </row>
    <row r="129" spans="1:9">
      <c r="A129" s="216"/>
      <c r="D129" s="216"/>
      <c r="E129" s="216"/>
      <c r="F129" s="858"/>
      <c r="G129" s="990"/>
      <c r="I129" s="216"/>
    </row>
    <row r="130" spans="1:9">
      <c r="A130" s="216"/>
      <c r="D130" s="216"/>
      <c r="E130" s="216"/>
      <c r="F130" s="858"/>
      <c r="G130" s="990"/>
      <c r="I130" s="216"/>
    </row>
    <row r="131" spans="1:9">
      <c r="A131" s="216"/>
      <c r="D131" s="216"/>
      <c r="E131" s="216"/>
      <c r="F131" s="858"/>
      <c r="G131" s="990"/>
      <c r="I131" s="216"/>
    </row>
    <row r="132" spans="1:9">
      <c r="A132" s="216"/>
      <c r="D132" s="216"/>
      <c r="E132" s="216"/>
      <c r="F132" s="858"/>
      <c r="G132" s="990"/>
      <c r="I132" s="216"/>
    </row>
    <row r="133" spans="1:9">
      <c r="A133" s="216"/>
      <c r="D133" s="216"/>
      <c r="E133" s="216"/>
      <c r="F133" s="858"/>
      <c r="G133" s="990"/>
      <c r="I133" s="216"/>
    </row>
    <row r="134" spans="1:9">
      <c r="A134" s="216"/>
      <c r="D134" s="216"/>
      <c r="E134" s="216"/>
      <c r="F134" s="858"/>
      <c r="G134" s="990"/>
      <c r="I134" s="216"/>
    </row>
    <row r="135" spans="1:9">
      <c r="A135" s="216"/>
      <c r="D135" s="216"/>
      <c r="E135" s="216"/>
      <c r="F135" s="858"/>
      <c r="G135" s="990"/>
      <c r="I135" s="216"/>
    </row>
    <row r="136" spans="1:9">
      <c r="A136" s="216"/>
      <c r="D136" s="216"/>
      <c r="E136" s="216"/>
      <c r="F136" s="858"/>
      <c r="G136" s="990"/>
      <c r="I136" s="216"/>
    </row>
    <row r="137" spans="1:9">
      <c r="A137" s="216"/>
      <c r="D137" s="216"/>
      <c r="E137" s="216"/>
      <c r="F137" s="858"/>
      <c r="G137" s="990"/>
      <c r="I137" s="216"/>
    </row>
    <row r="138" spans="1:9">
      <c r="A138" s="216"/>
      <c r="D138" s="216"/>
      <c r="E138" s="216"/>
      <c r="F138" s="858"/>
      <c r="G138" s="990"/>
      <c r="I138" s="216"/>
    </row>
    <row r="139" spans="1:9">
      <c r="A139" s="216"/>
      <c r="D139" s="216"/>
      <c r="E139" s="216"/>
      <c r="F139" s="858"/>
      <c r="G139" s="990"/>
      <c r="I139" s="216"/>
    </row>
    <row r="140" spans="1:9">
      <c r="A140" s="216"/>
      <c r="D140" s="216"/>
      <c r="E140" s="216"/>
      <c r="F140" s="858"/>
      <c r="G140" s="990"/>
      <c r="I140" s="216"/>
    </row>
    <row r="141" spans="1:9">
      <c r="A141" s="216"/>
      <c r="D141" s="216"/>
      <c r="E141" s="216"/>
      <c r="F141" s="858"/>
      <c r="G141" s="990"/>
      <c r="I141" s="216"/>
    </row>
    <row r="142" spans="1:9">
      <c r="A142" s="216"/>
      <c r="D142" s="216"/>
      <c r="E142" s="216"/>
      <c r="F142" s="858"/>
      <c r="G142" s="990"/>
      <c r="I142" s="216"/>
    </row>
    <row r="143" spans="1:9">
      <c r="A143" s="216"/>
      <c r="D143" s="216"/>
      <c r="E143" s="216"/>
      <c r="F143" s="858"/>
      <c r="G143" s="990"/>
      <c r="I143" s="216"/>
    </row>
    <row r="144" spans="1:9">
      <c r="A144" s="216"/>
      <c r="D144" s="216"/>
      <c r="E144" s="216"/>
      <c r="F144" s="858"/>
      <c r="G144" s="990"/>
      <c r="I144" s="216"/>
    </row>
    <row r="145" spans="1:9">
      <c r="A145" s="216"/>
      <c r="D145" s="216"/>
      <c r="E145" s="216"/>
      <c r="F145" s="858"/>
      <c r="G145" s="990"/>
      <c r="I145" s="216"/>
    </row>
    <row r="146" spans="1:9">
      <c r="A146" s="216"/>
      <c r="D146" s="216"/>
      <c r="E146" s="216"/>
      <c r="F146" s="858"/>
      <c r="G146" s="990"/>
      <c r="I146" s="216"/>
    </row>
    <row r="147" spans="1:9">
      <c r="A147" s="216"/>
      <c r="D147" s="216"/>
      <c r="E147" s="216"/>
      <c r="F147" s="858"/>
      <c r="G147" s="990"/>
      <c r="I147" s="216"/>
    </row>
    <row r="148" spans="1:9">
      <c r="A148" s="216"/>
      <c r="D148" s="216"/>
      <c r="E148" s="216"/>
      <c r="F148" s="858"/>
      <c r="G148" s="990"/>
      <c r="I148" s="216"/>
    </row>
    <row r="149" spans="1:9">
      <c r="A149" s="216"/>
      <c r="D149" s="216"/>
      <c r="E149" s="216"/>
      <c r="F149" s="858"/>
      <c r="G149" s="990"/>
      <c r="I149" s="216"/>
    </row>
    <row r="150" spans="1:9">
      <c r="A150" s="216"/>
      <c r="D150" s="216"/>
      <c r="E150" s="216"/>
      <c r="F150" s="858"/>
      <c r="G150" s="990"/>
      <c r="I150" s="216"/>
    </row>
    <row r="151" spans="1:9">
      <c r="A151" s="216"/>
      <c r="D151" s="216"/>
      <c r="E151" s="216"/>
      <c r="F151" s="858"/>
      <c r="G151" s="990"/>
      <c r="I151" s="216"/>
    </row>
    <row r="152" spans="1:9">
      <c r="A152" s="216"/>
      <c r="D152" s="216"/>
      <c r="E152" s="216"/>
      <c r="F152" s="858"/>
      <c r="G152" s="990"/>
      <c r="I152" s="216"/>
    </row>
    <row r="153" spans="1:9">
      <c r="A153" s="216"/>
      <c r="D153" s="216"/>
      <c r="E153" s="216"/>
      <c r="F153" s="858"/>
      <c r="G153" s="990"/>
      <c r="I153" s="216"/>
    </row>
    <row r="154" spans="1:9">
      <c r="A154" s="216"/>
      <c r="D154" s="216"/>
      <c r="E154" s="216"/>
      <c r="F154" s="858"/>
      <c r="G154" s="990"/>
      <c r="I154" s="216"/>
    </row>
    <row r="155" spans="1:9">
      <c r="A155" s="216"/>
      <c r="D155" s="216"/>
      <c r="E155" s="216"/>
      <c r="F155" s="858"/>
      <c r="G155" s="990"/>
      <c r="I155" s="216"/>
    </row>
    <row r="156" spans="1:9">
      <c r="A156" s="216"/>
      <c r="D156" s="216"/>
      <c r="E156" s="216"/>
      <c r="F156" s="858"/>
      <c r="G156" s="990"/>
      <c r="I156" s="216"/>
    </row>
    <row r="157" spans="1:9">
      <c r="A157" s="216"/>
      <c r="D157" s="216"/>
      <c r="E157" s="216"/>
      <c r="F157" s="858"/>
      <c r="G157" s="990"/>
      <c r="I157" s="216"/>
    </row>
    <row r="158" spans="1:9">
      <c r="A158" s="216"/>
      <c r="D158" s="216"/>
      <c r="E158" s="216"/>
      <c r="F158" s="858"/>
      <c r="G158" s="990"/>
      <c r="I158" s="216"/>
    </row>
    <row r="159" spans="1:9">
      <c r="A159" s="216"/>
      <c r="D159" s="216"/>
      <c r="E159" s="216"/>
      <c r="F159" s="858"/>
      <c r="G159" s="990"/>
      <c r="I159" s="216"/>
    </row>
    <row r="160" spans="1:9">
      <c r="A160" s="216"/>
      <c r="D160" s="216"/>
      <c r="E160" s="216"/>
      <c r="F160" s="858"/>
      <c r="G160" s="990"/>
      <c r="I160" s="216"/>
    </row>
    <row r="161" spans="1:9">
      <c r="A161" s="216"/>
      <c r="D161" s="216"/>
      <c r="E161" s="216"/>
      <c r="F161" s="858"/>
      <c r="G161" s="990"/>
      <c r="I161" s="216"/>
    </row>
    <row r="162" spans="1:9">
      <c r="A162" s="216"/>
      <c r="D162" s="216"/>
      <c r="E162" s="216"/>
      <c r="F162" s="858"/>
      <c r="G162" s="990"/>
      <c r="I162" s="216"/>
    </row>
    <row r="163" spans="1:9">
      <c r="A163" s="216"/>
      <c r="D163" s="216"/>
      <c r="E163" s="216"/>
      <c r="F163" s="858"/>
      <c r="G163" s="990"/>
      <c r="I163" s="216"/>
    </row>
    <row r="164" spans="1:9">
      <c r="A164" s="216"/>
      <c r="D164" s="216"/>
      <c r="E164" s="216"/>
      <c r="F164" s="858"/>
      <c r="G164" s="990"/>
      <c r="I164" s="216"/>
    </row>
    <row r="165" spans="1:9">
      <c r="A165" s="216"/>
      <c r="D165" s="216"/>
      <c r="E165" s="216"/>
      <c r="F165" s="858"/>
      <c r="G165" s="990"/>
      <c r="I165" s="216"/>
    </row>
    <row r="166" spans="1:9">
      <c r="A166" s="216"/>
      <c r="D166" s="216"/>
      <c r="E166" s="216"/>
      <c r="F166" s="858"/>
      <c r="G166" s="990"/>
      <c r="I166" s="216"/>
    </row>
    <row r="167" spans="1:9">
      <c r="A167" s="216"/>
      <c r="D167" s="216"/>
      <c r="E167" s="216"/>
      <c r="F167" s="858"/>
      <c r="G167" s="990"/>
      <c r="I167" s="216"/>
    </row>
    <row r="168" spans="1:9">
      <c r="A168" s="216"/>
      <c r="D168" s="216"/>
      <c r="E168" s="216"/>
      <c r="F168" s="858"/>
      <c r="G168" s="990"/>
      <c r="I168" s="216"/>
    </row>
    <row r="169" spans="1:9">
      <c r="A169" s="216"/>
      <c r="D169" s="216"/>
      <c r="E169" s="216"/>
      <c r="F169" s="858"/>
      <c r="G169" s="990"/>
      <c r="I169" s="216"/>
    </row>
  </sheetData>
  <sheetProtection algorithmName="SHA-512" hashValue="WwMd0EuONRb3D/XTAVCfERX/ShuN7LXh0ZU/es4G69TKOlecLwhfnP8oc5BKBvw9rjZHaZNgN8CnwtR3DxXZUA==" saltValue="C2CWzWXUYUq+7SZ4+ITVZA==" spinCount="100000" sheet="1" formatCells="0" formatColumns="0" formatRows="0"/>
  <protectedRanges>
    <protectedRange sqref="F42" name="cena na enoto_1_1_1_1_1"/>
  </protectedRanges>
  <conditionalFormatting sqref="G61">
    <cfRule type="cellIs" dxfId="0" priority="1" stopIfTrue="1" operator="equal">
      <formula>0</formula>
    </cfRule>
  </conditionalFormatting>
  <pageMargins left="1.1023622047244095" right="0.51181102362204722" top="0.59055118110236227" bottom="0.39370078740157483" header="0.19685039370078741" footer="0.11811023622047245"/>
  <pageSetup paperSize="9" orientation="portrait" r:id="rId1"/>
  <headerFooter>
    <oddHeader>&amp;L&amp;"-,Običajno"&amp;8TEHNIČNO POROČILO TER POPIS DEL IN MATERIALA&amp;"Arial CE,Običajno"&amp;10
______________________________________________________________________________________
&amp;R&amp;"-,Običajno"&amp;8 19/&amp;P</oddHeader>
    <oddFooter xml:space="preserve">&amp;L
</oddFooter>
  </headerFooter>
  <rowBreaks count="1" manualBreakCount="1">
    <brk id="28" max="6"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0"/>
  <sheetViews>
    <sheetView view="pageBreakPreview" topLeftCell="A13" zoomScale="125" zoomScaleNormal="100" zoomScaleSheetLayoutView="125" workbookViewId="0">
      <selection activeCell="G1" sqref="G1:G1048576"/>
    </sheetView>
  </sheetViews>
  <sheetFormatPr defaultColWidth="8.125" defaultRowHeight="14.25"/>
  <cols>
    <col min="1" max="1" width="2.875" style="213" customWidth="1"/>
    <col min="2" max="2" width="40.125" style="215" customWidth="1"/>
    <col min="3" max="3" width="0.625" style="214" customWidth="1"/>
    <col min="4" max="4" width="4.75" style="213" customWidth="1"/>
    <col min="5" max="5" width="6.375" style="213" customWidth="1"/>
    <col min="6" max="6" width="9.375" style="859" customWidth="1"/>
    <col min="7" max="7" width="10.625" style="991" customWidth="1"/>
    <col min="8" max="8" width="8.125" style="213" hidden="1" customWidth="1"/>
    <col min="9" max="9" width="9.375" style="213" hidden="1" customWidth="1"/>
    <col min="10" max="16384" width="8.125" style="213"/>
  </cols>
  <sheetData>
    <row r="1" spans="1:9">
      <c r="A1" s="794" t="s">
        <v>1452</v>
      </c>
      <c r="B1" s="795"/>
      <c r="C1" s="630"/>
      <c r="D1" s="631"/>
      <c r="E1" s="632"/>
      <c r="F1" s="852"/>
      <c r="G1" s="984"/>
      <c r="I1" s="235"/>
    </row>
    <row r="2" spans="1:9" ht="9" customHeight="1" thickBot="1">
      <c r="A2" s="578"/>
      <c r="B2" s="593"/>
      <c r="C2" s="580"/>
      <c r="D2" s="588"/>
      <c r="E2" s="588"/>
      <c r="F2" s="855"/>
      <c r="G2" s="988"/>
      <c r="I2" s="230"/>
    </row>
    <row r="3" spans="1:9" s="216" customFormat="1" ht="12.75">
      <c r="A3" s="583" t="s">
        <v>850</v>
      </c>
      <c r="B3" s="584" t="s">
        <v>849</v>
      </c>
      <c r="C3" s="585"/>
      <c r="D3" s="586" t="s">
        <v>254</v>
      </c>
      <c r="E3" s="587" t="s">
        <v>848</v>
      </c>
      <c r="F3" s="854" t="s">
        <v>847</v>
      </c>
      <c r="G3" s="986" t="s">
        <v>846</v>
      </c>
      <c r="I3" s="230"/>
    </row>
    <row r="4" spans="1:9" ht="6.75" customHeight="1">
      <c r="A4" s="588"/>
      <c r="B4" s="589"/>
      <c r="C4" s="590"/>
      <c r="D4" s="588"/>
      <c r="E4" s="588"/>
      <c r="F4" s="853"/>
      <c r="G4" s="985"/>
      <c r="I4" s="230"/>
    </row>
    <row r="5" spans="1:9" s="193" customFormat="1" ht="88.5" customHeight="1">
      <c r="A5" s="578">
        <v>1</v>
      </c>
      <c r="B5" s="579" t="s">
        <v>1348</v>
      </c>
      <c r="C5" s="580"/>
      <c r="D5" s="588" t="s">
        <v>113</v>
      </c>
      <c r="E5" s="725">
        <v>2</v>
      </c>
      <c r="F5" s="853"/>
      <c r="G5" s="985">
        <f>ROUND(ROUND(E5,2)*ROUND(F5,2),2)</f>
        <v>0</v>
      </c>
    </row>
    <row r="6" spans="1:9" ht="9" customHeight="1">
      <c r="A6" s="578"/>
      <c r="B6" s="579"/>
      <c r="C6" s="579"/>
      <c r="D6" s="580"/>
      <c r="E6" s="725"/>
      <c r="F6" s="853"/>
      <c r="G6" s="985"/>
      <c r="H6" s="223"/>
    </row>
    <row r="7" spans="1:9" s="193" customFormat="1" ht="28.15" customHeight="1">
      <c r="A7" s="578">
        <f>A5+1</f>
        <v>2</v>
      </c>
      <c r="B7" s="579" t="s">
        <v>944</v>
      </c>
      <c r="C7" s="580"/>
      <c r="D7" s="588" t="s">
        <v>113</v>
      </c>
      <c r="E7" s="725">
        <v>2</v>
      </c>
      <c r="F7" s="853"/>
      <c r="G7" s="985">
        <f t="shared" ref="G7:G30" si="0">ROUND(ROUND(E7,2)*ROUND(F7,2),2)</f>
        <v>0</v>
      </c>
    </row>
    <row r="8" spans="1:9" ht="9" customHeight="1">
      <c r="A8" s="578"/>
      <c r="B8" s="579"/>
      <c r="C8" s="579"/>
      <c r="D8" s="580"/>
      <c r="E8" s="725"/>
      <c r="F8" s="853"/>
      <c r="G8" s="985"/>
      <c r="H8" s="223"/>
    </row>
    <row r="9" spans="1:9" s="193" customFormat="1" ht="82.9" customHeight="1">
      <c r="A9" s="578">
        <f>A7+1</f>
        <v>3</v>
      </c>
      <c r="B9" s="579" t="s">
        <v>943</v>
      </c>
      <c r="C9" s="580"/>
      <c r="D9" s="588" t="s">
        <v>113</v>
      </c>
      <c r="E9" s="725">
        <v>1</v>
      </c>
      <c r="F9" s="853"/>
      <c r="G9" s="985">
        <f t="shared" si="0"/>
        <v>0</v>
      </c>
    </row>
    <row r="10" spans="1:9" ht="9" customHeight="1">
      <c r="A10" s="578"/>
      <c r="B10" s="579"/>
      <c r="C10" s="579"/>
      <c r="D10" s="580"/>
      <c r="E10" s="725"/>
      <c r="F10" s="853"/>
      <c r="G10" s="985"/>
      <c r="H10" s="223"/>
    </row>
    <row r="11" spans="1:9" s="193" customFormat="1" ht="100.5" customHeight="1">
      <c r="A11" s="578">
        <f>A9+1</f>
        <v>4</v>
      </c>
      <c r="B11" s="579" t="s">
        <v>942</v>
      </c>
      <c r="C11" s="580"/>
      <c r="D11" s="588" t="s">
        <v>113</v>
      </c>
      <c r="E11" s="725">
        <v>1</v>
      </c>
      <c r="F11" s="853"/>
      <c r="G11" s="985">
        <f t="shared" si="0"/>
        <v>0</v>
      </c>
    </row>
    <row r="12" spans="1:9" ht="9" customHeight="1">
      <c r="A12" s="578"/>
      <c r="B12" s="579"/>
      <c r="C12" s="580"/>
      <c r="D12" s="580"/>
      <c r="E12" s="725"/>
      <c r="F12" s="853"/>
      <c r="G12" s="985"/>
      <c r="H12" s="223"/>
    </row>
    <row r="13" spans="1:9" s="193" customFormat="1" ht="43.15" customHeight="1">
      <c r="A13" s="578">
        <f>A11+1</f>
        <v>5</v>
      </c>
      <c r="B13" s="579" t="s">
        <v>941</v>
      </c>
      <c r="C13" s="580"/>
      <c r="D13" s="588" t="s">
        <v>113</v>
      </c>
      <c r="E13" s="725">
        <v>2</v>
      </c>
      <c r="F13" s="853"/>
      <c r="G13" s="985">
        <f t="shared" si="0"/>
        <v>0</v>
      </c>
    </row>
    <row r="14" spans="1:9" ht="9" customHeight="1">
      <c r="A14" s="578"/>
      <c r="B14" s="579"/>
      <c r="C14" s="580"/>
      <c r="D14" s="580"/>
      <c r="E14" s="725"/>
      <c r="F14" s="853"/>
      <c r="G14" s="985"/>
      <c r="H14" s="223"/>
    </row>
    <row r="15" spans="1:9" s="240" customFormat="1" ht="57.6" customHeight="1">
      <c r="A15" s="578">
        <f>A13+1</f>
        <v>6</v>
      </c>
      <c r="B15" s="590" t="s">
        <v>940</v>
      </c>
      <c r="C15" s="726"/>
      <c r="D15" s="578" t="s">
        <v>824</v>
      </c>
      <c r="E15" s="727">
        <v>130</v>
      </c>
      <c r="F15" s="853"/>
      <c r="G15" s="985">
        <f t="shared" si="0"/>
        <v>0</v>
      </c>
      <c r="H15" s="241"/>
    </row>
    <row r="16" spans="1:9" ht="9" customHeight="1">
      <c r="A16" s="578"/>
      <c r="B16" s="589"/>
      <c r="C16" s="580"/>
      <c r="D16" s="588"/>
      <c r="E16" s="588"/>
      <c r="F16" s="873"/>
      <c r="G16" s="985"/>
      <c r="H16" s="216"/>
      <c r="I16" s="216"/>
    </row>
    <row r="17" spans="1:9">
      <c r="A17" s="578">
        <f>A15+1</f>
        <v>7</v>
      </c>
      <c r="B17" s="590" t="s">
        <v>939</v>
      </c>
      <c r="C17" s="590"/>
      <c r="D17" s="588" t="s">
        <v>824</v>
      </c>
      <c r="E17" s="588">
        <v>120</v>
      </c>
      <c r="F17" s="853"/>
      <c r="G17" s="985">
        <f t="shared" si="0"/>
        <v>0</v>
      </c>
      <c r="H17" s="223"/>
      <c r="I17" s="223"/>
    </row>
    <row r="18" spans="1:9" ht="9" customHeight="1">
      <c r="A18" s="578"/>
      <c r="B18" s="589"/>
      <c r="C18" s="580"/>
      <c r="D18" s="588"/>
      <c r="E18" s="588"/>
      <c r="F18" s="855"/>
      <c r="G18" s="985"/>
      <c r="H18" s="216"/>
      <c r="I18" s="216"/>
    </row>
    <row r="19" spans="1:9" s="240" customFormat="1" ht="29.45" customHeight="1">
      <c r="A19" s="578">
        <f>A17+1</f>
        <v>8</v>
      </c>
      <c r="B19" s="580" t="s">
        <v>938</v>
      </c>
      <c r="C19" s="726"/>
      <c r="D19" s="588" t="s">
        <v>93</v>
      </c>
      <c r="E19" s="588">
        <v>2</v>
      </c>
      <c r="F19" s="853"/>
      <c r="G19" s="985">
        <f t="shared" si="0"/>
        <v>0</v>
      </c>
      <c r="H19" s="241"/>
    </row>
    <row r="20" spans="1:9" ht="9" customHeight="1">
      <c r="A20" s="578"/>
      <c r="B20" s="589"/>
      <c r="C20" s="580"/>
      <c r="D20" s="588"/>
      <c r="E20" s="588"/>
      <c r="F20" s="855"/>
      <c r="G20" s="985"/>
      <c r="H20" s="216"/>
      <c r="I20" s="216"/>
    </row>
    <row r="21" spans="1:9" s="216" customFormat="1" ht="28.9" customHeight="1">
      <c r="A21" s="578">
        <f>A17+1</f>
        <v>8</v>
      </c>
      <c r="B21" s="589" t="s">
        <v>911</v>
      </c>
      <c r="C21" s="589"/>
      <c r="D21" s="588" t="s">
        <v>824</v>
      </c>
      <c r="E21" s="588">
        <v>14</v>
      </c>
      <c r="F21" s="853"/>
      <c r="G21" s="985">
        <f t="shared" si="0"/>
        <v>0</v>
      </c>
    </row>
    <row r="22" spans="1:9" s="216" customFormat="1" ht="9" customHeight="1">
      <c r="A22" s="578"/>
      <c r="B22" s="593"/>
      <c r="C22" s="593"/>
      <c r="D22" s="588"/>
      <c r="E22" s="588"/>
      <c r="F22" s="853"/>
      <c r="G22" s="985"/>
    </row>
    <row r="23" spans="1:9" s="216" customFormat="1" ht="28.9" customHeight="1">
      <c r="A23" s="578">
        <f>A21+1</f>
        <v>9</v>
      </c>
      <c r="B23" s="589" t="s">
        <v>910</v>
      </c>
      <c r="C23" s="714"/>
      <c r="D23" s="588" t="s">
        <v>93</v>
      </c>
      <c r="E23" s="588">
        <v>4</v>
      </c>
      <c r="F23" s="853"/>
      <c r="G23" s="985">
        <f t="shared" si="0"/>
        <v>0</v>
      </c>
    </row>
    <row r="24" spans="1:9" ht="9" customHeight="1">
      <c r="A24" s="578"/>
      <c r="B24" s="593"/>
      <c r="C24" s="593"/>
      <c r="D24" s="588"/>
      <c r="E24" s="588"/>
      <c r="F24" s="853"/>
      <c r="G24" s="985"/>
    </row>
    <row r="25" spans="1:9" s="208" customFormat="1" ht="42" customHeight="1">
      <c r="A25" s="578">
        <f>A23+1</f>
        <v>10</v>
      </c>
      <c r="B25" s="593" t="s">
        <v>908</v>
      </c>
      <c r="C25" s="593"/>
      <c r="D25" s="588"/>
      <c r="E25" s="728"/>
      <c r="F25" s="853"/>
      <c r="G25" s="985"/>
    </row>
    <row r="26" spans="1:9" s="208" customFormat="1" ht="12.75">
      <c r="A26" s="578"/>
      <c r="B26" s="593" t="s">
        <v>1323</v>
      </c>
      <c r="C26" s="593"/>
      <c r="D26" s="588" t="s">
        <v>824</v>
      </c>
      <c r="E26" s="728">
        <v>10</v>
      </c>
      <c r="F26" s="853"/>
      <c r="G26" s="985">
        <f t="shared" si="0"/>
        <v>0</v>
      </c>
    </row>
    <row r="27" spans="1:9" s="208" customFormat="1" ht="9" customHeight="1">
      <c r="A27" s="578"/>
      <c r="B27" s="593"/>
      <c r="C27" s="593"/>
      <c r="D27" s="728"/>
      <c r="E27" s="728"/>
      <c r="F27" s="853"/>
      <c r="G27" s="985"/>
    </row>
    <row r="28" spans="1:9" s="193" customFormat="1" ht="42.6" customHeight="1">
      <c r="A28" s="578">
        <f>A25+1</f>
        <v>11</v>
      </c>
      <c r="B28" s="579" t="s">
        <v>937</v>
      </c>
      <c r="C28" s="580"/>
      <c r="D28" s="588"/>
      <c r="E28" s="725"/>
      <c r="F28" s="853"/>
      <c r="G28" s="985"/>
    </row>
    <row r="29" spans="1:9" ht="9" customHeight="1">
      <c r="A29" s="578"/>
      <c r="B29" s="579"/>
      <c r="C29" s="580"/>
      <c r="D29" s="580"/>
      <c r="E29" s="725"/>
      <c r="F29" s="853"/>
      <c r="G29" s="985"/>
      <c r="H29" s="223"/>
    </row>
    <row r="30" spans="1:9" s="193" customFormat="1" ht="28.9" customHeight="1">
      <c r="A30" s="578">
        <f>A28+1</f>
        <v>12</v>
      </c>
      <c r="B30" s="714" t="s">
        <v>936</v>
      </c>
      <c r="C30" s="580"/>
      <c r="D30" s="588" t="s">
        <v>113</v>
      </c>
      <c r="E30" s="725">
        <v>1</v>
      </c>
      <c r="F30" s="853"/>
      <c r="G30" s="985">
        <f t="shared" si="0"/>
        <v>0</v>
      </c>
    </row>
    <row r="31" spans="1:9">
      <c r="A31" s="588"/>
      <c r="B31" s="589"/>
      <c r="C31" s="590"/>
      <c r="D31" s="588"/>
      <c r="E31" s="588"/>
      <c r="F31" s="853"/>
      <c r="G31" s="985"/>
      <c r="I31" s="222"/>
    </row>
    <row r="32" spans="1:9" ht="15" thickBot="1">
      <c r="A32" s="724" t="s">
        <v>805</v>
      </c>
      <c r="B32" s="599"/>
      <c r="C32" s="600"/>
      <c r="D32" s="601"/>
      <c r="E32" s="602"/>
      <c r="F32" s="857"/>
      <c r="G32" s="1010">
        <f>ROUND(SUM(G5:G30),1)</f>
        <v>0</v>
      </c>
      <c r="I32" s="222"/>
    </row>
    <row r="33" spans="1:9">
      <c r="A33" s="216"/>
      <c r="D33" s="216"/>
      <c r="E33" s="216"/>
      <c r="F33" s="858"/>
      <c r="G33" s="990"/>
      <c r="I33" s="222"/>
    </row>
    <row r="34" spans="1:9">
      <c r="A34" s="216"/>
      <c r="D34" s="216"/>
      <c r="E34" s="216"/>
      <c r="F34" s="858"/>
      <c r="G34" s="990"/>
      <c r="I34" s="216"/>
    </row>
    <row r="35" spans="1:9">
      <c r="A35" s="216"/>
      <c r="D35" s="216"/>
      <c r="E35" s="216"/>
      <c r="F35" s="858"/>
      <c r="G35" s="990"/>
      <c r="I35" s="216"/>
    </row>
    <row r="36" spans="1:9">
      <c r="A36" s="216"/>
      <c r="D36" s="216"/>
      <c r="E36" s="216"/>
      <c r="F36" s="858"/>
      <c r="G36" s="990"/>
      <c r="I36" s="216"/>
    </row>
    <row r="37" spans="1:9">
      <c r="A37" s="216"/>
      <c r="D37" s="216"/>
      <c r="E37" s="216"/>
      <c r="F37" s="858"/>
      <c r="G37" s="990"/>
      <c r="I37" s="216"/>
    </row>
    <row r="38" spans="1:9">
      <c r="A38" s="216"/>
      <c r="D38" s="216"/>
      <c r="E38" s="216"/>
      <c r="F38" s="858"/>
      <c r="G38" s="990"/>
      <c r="I38" s="216"/>
    </row>
    <row r="39" spans="1:9">
      <c r="A39" s="216"/>
      <c r="D39" s="216"/>
      <c r="E39" s="216"/>
      <c r="F39" s="858"/>
      <c r="G39" s="990"/>
      <c r="I39" s="216"/>
    </row>
    <row r="40" spans="1:9">
      <c r="A40" s="216"/>
      <c r="D40" s="216"/>
      <c r="E40" s="216"/>
      <c r="F40" s="858"/>
      <c r="G40" s="990"/>
      <c r="I40" s="216"/>
    </row>
    <row r="41" spans="1:9">
      <c r="A41" s="216"/>
      <c r="D41" s="216"/>
      <c r="E41" s="216"/>
      <c r="F41" s="858"/>
      <c r="G41" s="990"/>
      <c r="I41" s="216"/>
    </row>
    <row r="42" spans="1:9">
      <c r="A42" s="216"/>
      <c r="D42" s="216"/>
      <c r="E42" s="216"/>
      <c r="F42" s="858"/>
      <c r="G42" s="990"/>
      <c r="I42" s="216"/>
    </row>
    <row r="43" spans="1:9">
      <c r="A43" s="216"/>
      <c r="D43" s="216"/>
      <c r="E43" s="216"/>
      <c r="F43" s="858"/>
      <c r="G43" s="990"/>
      <c r="I43" s="216"/>
    </row>
    <row r="44" spans="1:9">
      <c r="A44" s="216"/>
      <c r="D44" s="216"/>
      <c r="E44" s="216"/>
      <c r="F44" s="858"/>
      <c r="G44" s="990"/>
      <c r="I44" s="216"/>
    </row>
    <row r="45" spans="1:9">
      <c r="A45" s="216"/>
      <c r="D45" s="216"/>
      <c r="E45" s="216"/>
      <c r="F45" s="858"/>
      <c r="G45" s="990"/>
      <c r="I45" s="216"/>
    </row>
    <row r="46" spans="1:9">
      <c r="A46" s="216"/>
      <c r="D46" s="216"/>
      <c r="E46" s="216"/>
      <c r="F46" s="858"/>
      <c r="G46" s="990"/>
      <c r="I46" s="216"/>
    </row>
    <row r="47" spans="1:9">
      <c r="A47" s="216"/>
      <c r="D47" s="216"/>
      <c r="E47" s="216"/>
      <c r="F47" s="858"/>
      <c r="G47" s="990"/>
      <c r="I47" s="216"/>
    </row>
    <row r="48" spans="1:9">
      <c r="A48" s="216"/>
      <c r="D48" s="216"/>
      <c r="E48" s="216"/>
      <c r="F48" s="858"/>
      <c r="G48" s="990"/>
      <c r="I48" s="216"/>
    </row>
    <row r="49" spans="1:9">
      <c r="A49" s="216"/>
      <c r="D49" s="216"/>
      <c r="E49" s="216"/>
      <c r="F49" s="858"/>
      <c r="G49" s="990"/>
      <c r="I49" s="216"/>
    </row>
    <row r="50" spans="1:9">
      <c r="A50" s="216"/>
      <c r="D50" s="216"/>
      <c r="E50" s="216"/>
      <c r="F50" s="858"/>
      <c r="G50" s="990"/>
      <c r="I50" s="216"/>
    </row>
    <row r="51" spans="1:9">
      <c r="A51" s="216"/>
      <c r="D51" s="216"/>
      <c r="E51" s="216"/>
      <c r="F51" s="858"/>
      <c r="G51" s="990"/>
      <c r="I51" s="216"/>
    </row>
    <row r="52" spans="1:9">
      <c r="A52" s="216"/>
      <c r="D52" s="216"/>
      <c r="E52" s="216"/>
      <c r="F52" s="858"/>
      <c r="G52" s="990"/>
      <c r="I52" s="216"/>
    </row>
    <row r="53" spans="1:9">
      <c r="A53" s="216"/>
      <c r="D53" s="216"/>
      <c r="E53" s="216"/>
      <c r="F53" s="858"/>
      <c r="G53" s="990"/>
      <c r="I53" s="216"/>
    </row>
    <row r="54" spans="1:9">
      <c r="A54" s="216"/>
      <c r="D54" s="216"/>
      <c r="E54" s="216"/>
      <c r="F54" s="858"/>
      <c r="G54" s="990"/>
      <c r="I54" s="216"/>
    </row>
    <row r="55" spans="1:9">
      <c r="A55" s="216"/>
      <c r="D55" s="216"/>
      <c r="E55" s="216"/>
      <c r="F55" s="858"/>
      <c r="G55" s="990"/>
      <c r="I55" s="216"/>
    </row>
    <row r="56" spans="1:9">
      <c r="A56" s="216"/>
      <c r="D56" s="216"/>
      <c r="E56" s="216"/>
      <c r="F56" s="858"/>
      <c r="G56" s="990"/>
      <c r="I56" s="216"/>
    </row>
    <row r="57" spans="1:9">
      <c r="A57" s="216"/>
      <c r="D57" s="216"/>
      <c r="E57" s="216"/>
      <c r="F57" s="858"/>
      <c r="G57" s="990"/>
      <c r="I57" s="216"/>
    </row>
    <row r="58" spans="1:9">
      <c r="A58" s="216"/>
      <c r="D58" s="216"/>
      <c r="E58" s="216"/>
      <c r="F58" s="858"/>
      <c r="G58" s="990"/>
      <c r="I58" s="216"/>
    </row>
    <row r="59" spans="1:9">
      <c r="A59" s="216"/>
      <c r="D59" s="216"/>
      <c r="E59" s="216"/>
      <c r="F59" s="858"/>
      <c r="G59" s="990"/>
      <c r="I59" s="216"/>
    </row>
    <row r="60" spans="1:9">
      <c r="A60" s="216"/>
      <c r="D60" s="216"/>
      <c r="E60" s="216"/>
      <c r="F60" s="858"/>
      <c r="G60" s="990"/>
      <c r="I60" s="216"/>
    </row>
    <row r="61" spans="1:9">
      <c r="A61" s="216"/>
      <c r="D61" s="216"/>
      <c r="E61" s="216"/>
      <c r="F61" s="858"/>
      <c r="G61" s="990"/>
      <c r="I61" s="216"/>
    </row>
    <row r="62" spans="1:9">
      <c r="A62" s="216"/>
      <c r="D62" s="216"/>
      <c r="E62" s="216"/>
      <c r="F62" s="858"/>
      <c r="G62" s="990"/>
      <c r="I62" s="216"/>
    </row>
    <row r="63" spans="1:9">
      <c r="A63" s="216"/>
      <c r="D63" s="216"/>
      <c r="E63" s="216"/>
      <c r="F63" s="858"/>
      <c r="G63" s="990"/>
      <c r="I63" s="216"/>
    </row>
    <row r="64" spans="1:9">
      <c r="A64" s="216"/>
      <c r="D64" s="216"/>
      <c r="E64" s="216"/>
      <c r="F64" s="858"/>
      <c r="G64" s="990"/>
      <c r="I64" s="216"/>
    </row>
    <row r="65" spans="1:9">
      <c r="A65" s="216"/>
      <c r="D65" s="216"/>
      <c r="E65" s="216"/>
      <c r="F65" s="858"/>
      <c r="G65" s="990"/>
      <c r="I65" s="216"/>
    </row>
    <row r="66" spans="1:9">
      <c r="A66" s="216"/>
      <c r="D66" s="216"/>
      <c r="E66" s="216"/>
      <c r="F66" s="858"/>
      <c r="G66" s="990"/>
      <c r="I66" s="216"/>
    </row>
    <row r="67" spans="1:9">
      <c r="A67" s="216"/>
      <c r="D67" s="216"/>
      <c r="E67" s="216"/>
      <c r="F67" s="858"/>
      <c r="G67" s="990"/>
      <c r="I67" s="216"/>
    </row>
    <row r="68" spans="1:9">
      <c r="A68" s="216"/>
      <c r="D68" s="216"/>
      <c r="E68" s="216"/>
      <c r="F68" s="858"/>
      <c r="G68" s="990"/>
      <c r="I68" s="216"/>
    </row>
    <row r="69" spans="1:9">
      <c r="A69" s="216"/>
      <c r="D69" s="216"/>
      <c r="E69" s="216"/>
      <c r="F69" s="858"/>
      <c r="G69" s="990"/>
      <c r="I69" s="216"/>
    </row>
    <row r="70" spans="1:9">
      <c r="A70" s="216"/>
      <c r="D70" s="216"/>
      <c r="E70" s="216"/>
      <c r="F70" s="858"/>
      <c r="G70" s="990"/>
      <c r="I70" s="216"/>
    </row>
    <row r="71" spans="1:9">
      <c r="A71" s="216"/>
      <c r="D71" s="216"/>
      <c r="E71" s="216"/>
      <c r="F71" s="858"/>
      <c r="G71" s="990"/>
      <c r="I71" s="216"/>
    </row>
    <row r="72" spans="1:9">
      <c r="A72" s="216"/>
      <c r="D72" s="216"/>
      <c r="E72" s="216"/>
      <c r="F72" s="858"/>
      <c r="G72" s="990"/>
      <c r="I72" s="216"/>
    </row>
    <row r="73" spans="1:9">
      <c r="A73" s="216"/>
      <c r="D73" s="216"/>
      <c r="E73" s="216"/>
      <c r="F73" s="858"/>
      <c r="G73" s="990"/>
      <c r="I73" s="216"/>
    </row>
    <row r="74" spans="1:9">
      <c r="A74" s="216"/>
      <c r="D74" s="216"/>
      <c r="E74" s="216"/>
      <c r="F74" s="858"/>
      <c r="G74" s="990"/>
      <c r="I74" s="216"/>
    </row>
    <row r="75" spans="1:9">
      <c r="A75" s="216"/>
      <c r="D75" s="216"/>
      <c r="E75" s="216"/>
      <c r="F75" s="858"/>
      <c r="G75" s="990"/>
      <c r="I75" s="216"/>
    </row>
    <row r="76" spans="1:9">
      <c r="A76" s="216"/>
      <c r="D76" s="216"/>
      <c r="E76" s="216"/>
      <c r="F76" s="858"/>
      <c r="G76" s="990"/>
      <c r="I76" s="216"/>
    </row>
    <row r="77" spans="1:9">
      <c r="A77" s="216"/>
      <c r="D77" s="216"/>
      <c r="E77" s="216"/>
      <c r="F77" s="858"/>
      <c r="G77" s="990"/>
      <c r="I77" s="216"/>
    </row>
    <row r="78" spans="1:9" ht="52.5" customHeight="1">
      <c r="A78" s="216"/>
      <c r="D78" s="216"/>
      <c r="E78" s="216"/>
      <c r="F78" s="858"/>
      <c r="G78" s="990"/>
      <c r="I78" s="216"/>
    </row>
    <row r="79" spans="1:9">
      <c r="A79" s="216"/>
      <c r="D79" s="216"/>
      <c r="E79" s="216"/>
      <c r="F79" s="858"/>
      <c r="G79" s="990"/>
      <c r="I79" s="216"/>
    </row>
    <row r="80" spans="1:9">
      <c r="A80" s="216"/>
      <c r="D80" s="216"/>
      <c r="E80" s="216"/>
      <c r="F80" s="858"/>
      <c r="G80" s="990"/>
      <c r="I80" s="216"/>
    </row>
    <row r="81" spans="1:9">
      <c r="A81" s="216"/>
      <c r="D81" s="216"/>
      <c r="E81" s="216"/>
      <c r="F81" s="858"/>
      <c r="G81" s="990"/>
      <c r="I81" s="216"/>
    </row>
    <row r="82" spans="1:9">
      <c r="A82" s="216"/>
      <c r="D82" s="216"/>
      <c r="E82" s="216"/>
      <c r="F82" s="858"/>
      <c r="G82" s="990"/>
      <c r="I82" s="216"/>
    </row>
    <row r="83" spans="1:9">
      <c r="A83" s="216"/>
      <c r="D83" s="216"/>
      <c r="E83" s="216"/>
      <c r="F83" s="858"/>
      <c r="G83" s="990"/>
      <c r="I83" s="216"/>
    </row>
    <row r="84" spans="1:9">
      <c r="A84" s="216"/>
      <c r="D84" s="216"/>
      <c r="E84" s="216"/>
      <c r="F84" s="858"/>
      <c r="G84" s="990"/>
      <c r="I84" s="216"/>
    </row>
    <row r="85" spans="1:9">
      <c r="A85" s="216"/>
      <c r="D85" s="216"/>
      <c r="E85" s="216"/>
      <c r="F85" s="858"/>
      <c r="G85" s="990"/>
      <c r="I85" s="216"/>
    </row>
    <row r="86" spans="1:9">
      <c r="A86" s="216"/>
      <c r="D86" s="216"/>
      <c r="E86" s="216"/>
      <c r="F86" s="858"/>
      <c r="G86" s="990"/>
      <c r="I86" s="216"/>
    </row>
    <row r="87" spans="1:9">
      <c r="A87" s="216"/>
      <c r="D87" s="216"/>
      <c r="E87" s="216"/>
      <c r="F87" s="858"/>
      <c r="G87" s="990"/>
      <c r="I87" s="216"/>
    </row>
    <row r="88" spans="1:9">
      <c r="A88" s="216"/>
      <c r="D88" s="216"/>
      <c r="E88" s="216"/>
      <c r="F88" s="858"/>
      <c r="G88" s="990"/>
      <c r="I88" s="216"/>
    </row>
    <row r="89" spans="1:9">
      <c r="A89" s="216"/>
      <c r="D89" s="216"/>
      <c r="E89" s="216"/>
      <c r="F89" s="858"/>
      <c r="G89" s="990"/>
      <c r="I89" s="216"/>
    </row>
    <row r="90" spans="1:9">
      <c r="A90" s="216"/>
      <c r="D90" s="216"/>
      <c r="E90" s="216"/>
      <c r="F90" s="858"/>
      <c r="G90" s="990"/>
      <c r="I90" s="216"/>
    </row>
    <row r="91" spans="1:9">
      <c r="A91" s="216"/>
      <c r="D91" s="216"/>
      <c r="E91" s="216"/>
      <c r="F91" s="858"/>
      <c r="G91" s="990"/>
      <c r="I91" s="216"/>
    </row>
    <row r="92" spans="1:9">
      <c r="A92" s="216"/>
      <c r="D92" s="216"/>
      <c r="E92" s="216"/>
      <c r="F92" s="858"/>
      <c r="G92" s="990"/>
      <c r="I92" s="216"/>
    </row>
    <row r="93" spans="1:9">
      <c r="A93" s="216"/>
      <c r="D93" s="216"/>
      <c r="E93" s="216"/>
      <c r="F93" s="858"/>
      <c r="G93" s="990"/>
      <c r="I93" s="216"/>
    </row>
    <row r="94" spans="1:9">
      <c r="A94" s="216"/>
      <c r="D94" s="216"/>
      <c r="E94" s="216"/>
      <c r="F94" s="858"/>
      <c r="G94" s="990"/>
      <c r="I94" s="216"/>
    </row>
    <row r="95" spans="1:9">
      <c r="A95" s="216"/>
      <c r="D95" s="216"/>
      <c r="E95" s="216"/>
      <c r="F95" s="858"/>
      <c r="G95" s="990"/>
      <c r="I95" s="216"/>
    </row>
    <row r="96" spans="1:9">
      <c r="A96" s="216"/>
      <c r="D96" s="216"/>
      <c r="E96" s="216"/>
      <c r="F96" s="858"/>
      <c r="G96" s="990"/>
      <c r="I96" s="216"/>
    </row>
    <row r="97" spans="1:9">
      <c r="A97" s="216"/>
      <c r="D97" s="216"/>
      <c r="E97" s="216"/>
      <c r="F97" s="858"/>
      <c r="G97" s="990"/>
      <c r="I97" s="216"/>
    </row>
    <row r="98" spans="1:9">
      <c r="A98" s="216"/>
      <c r="D98" s="216"/>
      <c r="E98" s="216"/>
      <c r="F98" s="858"/>
      <c r="G98" s="990"/>
      <c r="I98" s="216"/>
    </row>
    <row r="99" spans="1:9">
      <c r="A99" s="216"/>
      <c r="D99" s="216"/>
      <c r="E99" s="216"/>
      <c r="F99" s="858"/>
      <c r="G99" s="990"/>
      <c r="I99" s="216"/>
    </row>
    <row r="100" spans="1:9">
      <c r="A100" s="216"/>
      <c r="D100" s="216"/>
      <c r="E100" s="216"/>
      <c r="F100" s="858"/>
      <c r="G100" s="990"/>
      <c r="I100" s="216"/>
    </row>
    <row r="101" spans="1:9">
      <c r="A101" s="216"/>
      <c r="D101" s="216"/>
      <c r="E101" s="216"/>
      <c r="F101" s="858"/>
      <c r="G101" s="990"/>
      <c r="I101" s="216"/>
    </row>
    <row r="102" spans="1:9">
      <c r="A102" s="216"/>
      <c r="D102" s="216"/>
      <c r="E102" s="216"/>
      <c r="F102" s="858"/>
      <c r="G102" s="990"/>
      <c r="I102" s="216"/>
    </row>
    <row r="103" spans="1:9">
      <c r="A103" s="216"/>
      <c r="D103" s="216"/>
      <c r="E103" s="216"/>
      <c r="F103" s="858"/>
      <c r="G103" s="990"/>
      <c r="I103" s="216"/>
    </row>
    <row r="104" spans="1:9">
      <c r="A104" s="216"/>
      <c r="D104" s="216"/>
      <c r="E104" s="216"/>
      <c r="F104" s="858"/>
      <c r="G104" s="990"/>
      <c r="I104" s="216"/>
    </row>
    <row r="105" spans="1:9">
      <c r="A105" s="216"/>
      <c r="D105" s="216"/>
      <c r="E105" s="216"/>
      <c r="F105" s="858"/>
      <c r="G105" s="990"/>
      <c r="I105" s="216"/>
    </row>
    <row r="106" spans="1:9">
      <c r="A106" s="216"/>
      <c r="D106" s="216"/>
      <c r="E106" s="216"/>
      <c r="F106" s="858"/>
      <c r="G106" s="990"/>
      <c r="I106" s="216"/>
    </row>
    <row r="107" spans="1:9">
      <c r="A107" s="216"/>
      <c r="D107" s="216"/>
      <c r="E107" s="216"/>
      <c r="F107" s="858"/>
      <c r="G107" s="990"/>
      <c r="I107" s="216"/>
    </row>
    <row r="108" spans="1:9">
      <c r="A108" s="216"/>
      <c r="D108" s="216"/>
      <c r="E108" s="216"/>
      <c r="F108" s="858"/>
      <c r="G108" s="990"/>
      <c r="I108" s="216"/>
    </row>
    <row r="109" spans="1:9">
      <c r="A109" s="216"/>
      <c r="D109" s="216"/>
      <c r="E109" s="216"/>
      <c r="F109" s="858"/>
      <c r="G109" s="990"/>
      <c r="I109" s="216"/>
    </row>
    <row r="110" spans="1:9">
      <c r="A110" s="216"/>
      <c r="D110" s="216"/>
      <c r="E110" s="216"/>
      <c r="F110" s="858"/>
      <c r="G110" s="990"/>
      <c r="I110" s="216"/>
    </row>
    <row r="111" spans="1:9">
      <c r="A111" s="216"/>
      <c r="D111" s="216"/>
      <c r="E111" s="216"/>
      <c r="F111" s="858"/>
      <c r="G111" s="990"/>
      <c r="I111" s="216"/>
    </row>
    <row r="112" spans="1:9">
      <c r="A112" s="216"/>
      <c r="D112" s="216"/>
      <c r="E112" s="216"/>
      <c r="F112" s="858"/>
      <c r="G112" s="990"/>
      <c r="I112" s="216"/>
    </row>
    <row r="113" spans="1:9">
      <c r="A113" s="216"/>
      <c r="D113" s="216"/>
      <c r="E113" s="216"/>
      <c r="F113" s="858"/>
      <c r="G113" s="990"/>
      <c r="I113" s="216"/>
    </row>
    <row r="114" spans="1:9">
      <c r="A114" s="216"/>
      <c r="D114" s="216"/>
      <c r="E114" s="216"/>
      <c r="F114" s="858"/>
      <c r="G114" s="990"/>
      <c r="I114" s="216"/>
    </row>
    <row r="115" spans="1:9">
      <c r="A115" s="216"/>
      <c r="D115" s="216"/>
      <c r="E115" s="216"/>
      <c r="F115" s="858"/>
      <c r="G115" s="990"/>
      <c r="I115" s="216"/>
    </row>
    <row r="116" spans="1:9">
      <c r="A116" s="216"/>
      <c r="D116" s="216"/>
      <c r="E116" s="216"/>
      <c r="F116" s="858"/>
      <c r="G116" s="990"/>
      <c r="I116" s="216"/>
    </row>
    <row r="117" spans="1:9">
      <c r="A117" s="216"/>
      <c r="D117" s="216"/>
      <c r="E117" s="216"/>
      <c r="F117" s="858"/>
      <c r="G117" s="990"/>
      <c r="I117" s="216"/>
    </row>
    <row r="118" spans="1:9">
      <c r="A118" s="216"/>
      <c r="D118" s="216"/>
      <c r="E118" s="216"/>
      <c r="F118" s="858"/>
      <c r="G118" s="990"/>
      <c r="I118" s="216"/>
    </row>
    <row r="119" spans="1:9">
      <c r="A119" s="216"/>
      <c r="D119" s="216"/>
      <c r="E119" s="216"/>
      <c r="F119" s="858"/>
      <c r="G119" s="990"/>
      <c r="I119" s="216"/>
    </row>
    <row r="120" spans="1:9">
      <c r="A120" s="216"/>
      <c r="D120" s="216"/>
      <c r="E120" s="216"/>
      <c r="F120" s="858"/>
      <c r="G120" s="990"/>
      <c r="I120" s="216"/>
    </row>
    <row r="121" spans="1:9">
      <c r="A121" s="216"/>
      <c r="D121" s="216"/>
      <c r="E121" s="216"/>
      <c r="F121" s="858"/>
      <c r="G121" s="990"/>
      <c r="I121" s="216"/>
    </row>
    <row r="122" spans="1:9">
      <c r="A122" s="216"/>
      <c r="D122" s="216"/>
      <c r="E122" s="216"/>
      <c r="F122" s="858"/>
      <c r="G122" s="990"/>
      <c r="I122" s="216"/>
    </row>
    <row r="123" spans="1:9">
      <c r="A123" s="216"/>
      <c r="D123" s="216"/>
      <c r="E123" s="216"/>
      <c r="F123" s="858"/>
      <c r="G123" s="990"/>
      <c r="I123" s="216"/>
    </row>
    <row r="124" spans="1:9">
      <c r="A124" s="216"/>
      <c r="D124" s="216"/>
      <c r="E124" s="216"/>
      <c r="F124" s="858"/>
      <c r="G124" s="990"/>
      <c r="I124" s="216"/>
    </row>
    <row r="125" spans="1:9">
      <c r="A125" s="216"/>
      <c r="D125" s="216"/>
      <c r="E125" s="216"/>
      <c r="F125" s="858"/>
      <c r="G125" s="990"/>
      <c r="I125" s="216"/>
    </row>
    <row r="126" spans="1:9">
      <c r="A126" s="216"/>
      <c r="D126" s="216"/>
      <c r="E126" s="216"/>
      <c r="F126" s="858"/>
      <c r="G126" s="990"/>
      <c r="I126" s="216"/>
    </row>
    <row r="127" spans="1:9">
      <c r="A127" s="216"/>
      <c r="D127" s="216"/>
      <c r="E127" s="216"/>
      <c r="F127" s="858"/>
      <c r="G127" s="990"/>
      <c r="I127" s="216"/>
    </row>
    <row r="128" spans="1:9">
      <c r="A128" s="216"/>
      <c r="D128" s="216"/>
      <c r="E128" s="216"/>
      <c r="F128" s="858"/>
      <c r="G128" s="990"/>
      <c r="I128" s="216"/>
    </row>
    <row r="129" spans="1:9">
      <c r="A129" s="216"/>
      <c r="D129" s="216"/>
      <c r="E129" s="216"/>
      <c r="F129" s="858"/>
      <c r="G129" s="990"/>
      <c r="I129" s="216"/>
    </row>
    <row r="130" spans="1:9">
      <c r="A130" s="216"/>
      <c r="D130" s="216"/>
      <c r="E130" s="216"/>
      <c r="F130" s="858"/>
      <c r="G130" s="990"/>
      <c r="I130" s="216"/>
    </row>
  </sheetData>
  <sheetProtection algorithmName="SHA-512" hashValue="fqQToD3hclbP39ApIPkwylog7fZxoona1a1+GfmjR3gxi9Bi8onCc9DbFJVB3PJFOd7G+gE+Li/Nc78NjF07CQ==" saltValue="PRM7R1vKYBxw6ptpgWpAiA==" spinCount="100000" sheet="1" objects="1" scenarios="1" formatCells="0" formatColumns="0" formatRows="0"/>
  <pageMargins left="1.1023622047244095" right="0.51181102362204722" top="0.59055118110236227" bottom="0.39370078740157483" header="0.19685039370078741" footer="0.11811023622047245"/>
  <pageSetup paperSize="9" orientation="portrait" r:id="rId1"/>
  <headerFooter>
    <oddHeader>&amp;L&amp;"-,Običajno"&amp;8TEHNIČNO POROČILO TER POPIS DEL IN MATERIALA&amp;"Arial CE,Običajno"&amp;10
______________________________________________________________________________________
&amp;R&amp;"-,Običajno"&amp;8 19/&amp;P</oddHeader>
    <oddFooter xml:space="preserve">&amp;L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4"/>
  <sheetViews>
    <sheetView view="pageBreakPreview" zoomScale="125" zoomScaleNormal="100" zoomScaleSheetLayoutView="125" workbookViewId="0">
      <selection activeCell="G1" sqref="G1:G1048576"/>
    </sheetView>
  </sheetViews>
  <sheetFormatPr defaultColWidth="8.125" defaultRowHeight="14.25"/>
  <cols>
    <col min="1" max="1" width="2.875" style="213" customWidth="1"/>
    <col min="2" max="2" width="40.125" style="215" customWidth="1"/>
    <col min="3" max="3" width="0.625" style="214" customWidth="1"/>
    <col min="4" max="4" width="4.75" style="213" customWidth="1"/>
    <col min="5" max="5" width="6.375" style="213" customWidth="1"/>
    <col min="6" max="6" width="9.375" style="859" customWidth="1"/>
    <col min="7" max="7" width="10.625" style="991" customWidth="1"/>
    <col min="8" max="8" width="8.125" style="213" hidden="1" customWidth="1"/>
    <col min="9" max="9" width="9.375" style="213" hidden="1" customWidth="1"/>
    <col min="10" max="16384" width="8.125" style="213"/>
  </cols>
  <sheetData>
    <row r="1" spans="1:9">
      <c r="A1" s="794" t="s">
        <v>1453</v>
      </c>
      <c r="B1" s="795" t="s">
        <v>741</v>
      </c>
      <c r="C1" s="630"/>
      <c r="D1" s="631"/>
      <c r="E1" s="632"/>
      <c r="F1" s="852"/>
      <c r="G1" s="984"/>
      <c r="I1" s="235"/>
    </row>
    <row r="2" spans="1:9" ht="9" customHeight="1" thickBot="1">
      <c r="A2" s="578"/>
      <c r="B2" s="593"/>
      <c r="C2" s="580"/>
      <c r="D2" s="588"/>
      <c r="E2" s="588"/>
      <c r="F2" s="855"/>
      <c r="G2" s="988"/>
      <c r="I2" s="230"/>
    </row>
    <row r="3" spans="1:9" s="216" customFormat="1" ht="12.75">
      <c r="A3" s="583" t="s">
        <v>850</v>
      </c>
      <c r="B3" s="584" t="s">
        <v>849</v>
      </c>
      <c r="C3" s="585"/>
      <c r="D3" s="586" t="s">
        <v>254</v>
      </c>
      <c r="E3" s="587" t="s">
        <v>848</v>
      </c>
      <c r="F3" s="854" t="s">
        <v>847</v>
      </c>
      <c r="G3" s="986" t="s">
        <v>846</v>
      </c>
      <c r="I3" s="230"/>
    </row>
    <row r="4" spans="1:9" ht="6.75" customHeight="1">
      <c r="A4" s="588"/>
      <c r="B4" s="589"/>
      <c r="C4" s="590"/>
      <c r="D4" s="588"/>
      <c r="E4" s="588"/>
      <c r="F4" s="853"/>
      <c r="G4" s="985"/>
      <c r="I4" s="230"/>
    </row>
    <row r="5" spans="1:9" s="216" customFormat="1" ht="12.75">
      <c r="A5" s="578"/>
      <c r="B5" s="729" t="s">
        <v>954</v>
      </c>
      <c r="C5" s="729"/>
      <c r="D5" s="728"/>
      <c r="E5" s="588"/>
      <c r="F5" s="853"/>
      <c r="G5" s="988"/>
    </row>
    <row r="6" spans="1:9" ht="27" customHeight="1">
      <c r="A6" s="578">
        <v>1</v>
      </c>
      <c r="B6" s="593" t="s">
        <v>1349</v>
      </c>
      <c r="C6" s="593"/>
      <c r="D6" s="588" t="s">
        <v>824</v>
      </c>
      <c r="E6" s="727">
        <v>42</v>
      </c>
      <c r="F6" s="853"/>
      <c r="G6" s="985">
        <f>ROUND(ROUND(E6,2)*ROUND(F6,2),2)</f>
        <v>0</v>
      </c>
    </row>
    <row r="7" spans="1:9" ht="8.25" customHeight="1">
      <c r="A7" s="578"/>
      <c r="B7" s="593"/>
      <c r="C7" s="593"/>
      <c r="D7" s="588"/>
      <c r="E7" s="588"/>
      <c r="F7" s="853"/>
      <c r="G7" s="985"/>
    </row>
    <row r="8" spans="1:9" ht="53.45" customHeight="1">
      <c r="A8" s="578">
        <f>A6+1</f>
        <v>2</v>
      </c>
      <c r="B8" s="593" t="s">
        <v>1350</v>
      </c>
      <c r="C8" s="593"/>
      <c r="D8" s="588" t="s">
        <v>113</v>
      </c>
      <c r="E8" s="727">
        <v>42</v>
      </c>
      <c r="F8" s="853"/>
      <c r="G8" s="985">
        <f t="shared" ref="G8:G44" si="0">ROUND(ROUND(E8,2)*ROUND(F8,2),2)</f>
        <v>0</v>
      </c>
    </row>
    <row r="9" spans="1:9" ht="9" customHeight="1">
      <c r="A9" s="578"/>
      <c r="B9" s="593"/>
      <c r="C9" s="593"/>
      <c r="D9" s="588"/>
      <c r="E9" s="588"/>
      <c r="F9" s="853"/>
      <c r="G9" s="985"/>
    </row>
    <row r="10" spans="1:9" ht="40.9" customHeight="1">
      <c r="A10" s="578">
        <f>A8+1</f>
        <v>3</v>
      </c>
      <c r="B10" s="593" t="s">
        <v>1351</v>
      </c>
      <c r="C10" s="593"/>
      <c r="D10" s="588" t="s">
        <v>113</v>
      </c>
      <c r="E10" s="727">
        <v>2</v>
      </c>
      <c r="F10" s="853"/>
      <c r="G10" s="985">
        <f t="shared" si="0"/>
        <v>0</v>
      </c>
    </row>
    <row r="11" spans="1:9" ht="9" customHeight="1">
      <c r="A11" s="578"/>
      <c r="B11" s="593"/>
      <c r="C11" s="593"/>
      <c r="D11" s="588"/>
      <c r="E11" s="588"/>
      <c r="F11" s="853"/>
      <c r="G11" s="985"/>
    </row>
    <row r="12" spans="1:9" ht="27.6" customHeight="1">
      <c r="A12" s="578">
        <f>A10+1</f>
        <v>4</v>
      </c>
      <c r="B12" s="593" t="s">
        <v>1352</v>
      </c>
      <c r="C12" s="593"/>
      <c r="D12" s="588" t="s">
        <v>113</v>
      </c>
      <c r="E12" s="727">
        <v>1</v>
      </c>
      <c r="F12" s="853"/>
      <c r="G12" s="985">
        <f t="shared" si="0"/>
        <v>0</v>
      </c>
    </row>
    <row r="13" spans="1:9" ht="9" customHeight="1">
      <c r="A13" s="578"/>
      <c r="B13" s="593"/>
      <c r="C13" s="593"/>
      <c r="D13" s="588"/>
      <c r="E13" s="588"/>
      <c r="F13" s="853"/>
      <c r="G13" s="985"/>
    </row>
    <row r="14" spans="1:9" s="216" customFormat="1" ht="12.75">
      <c r="A14" s="578"/>
      <c r="B14" s="729" t="s">
        <v>953</v>
      </c>
      <c r="C14" s="729"/>
      <c r="D14" s="588"/>
      <c r="E14" s="588"/>
      <c r="F14" s="853"/>
      <c r="G14" s="985"/>
    </row>
    <row r="15" spans="1:9" ht="38.25">
      <c r="A15" s="578">
        <f>A12+1</f>
        <v>5</v>
      </c>
      <c r="B15" s="593" t="s">
        <v>1353</v>
      </c>
      <c r="C15" s="593"/>
      <c r="D15" s="588" t="s">
        <v>824</v>
      </c>
      <c r="E15" s="727">
        <v>9</v>
      </c>
      <c r="F15" s="853"/>
      <c r="G15" s="985">
        <f t="shared" si="0"/>
        <v>0</v>
      </c>
    </row>
    <row r="16" spans="1:9" ht="8.25" customHeight="1">
      <c r="A16" s="578"/>
      <c r="B16" s="593"/>
      <c r="C16" s="593"/>
      <c r="D16" s="588"/>
      <c r="E16" s="588"/>
      <c r="F16" s="853"/>
      <c r="G16" s="985"/>
    </row>
    <row r="17" spans="1:7" ht="52.9" customHeight="1">
      <c r="A17" s="578">
        <f>A15+1</f>
        <v>6</v>
      </c>
      <c r="B17" s="590" t="s">
        <v>952</v>
      </c>
      <c r="C17" s="590"/>
      <c r="D17" s="588" t="s">
        <v>824</v>
      </c>
      <c r="E17" s="727">
        <v>8</v>
      </c>
      <c r="F17" s="853"/>
      <c r="G17" s="985">
        <f t="shared" si="0"/>
        <v>0</v>
      </c>
    </row>
    <row r="18" spans="1:7" ht="9" customHeight="1">
      <c r="A18" s="578"/>
      <c r="B18" s="593"/>
      <c r="C18" s="593"/>
      <c r="D18" s="588"/>
      <c r="E18" s="588"/>
      <c r="F18" s="853"/>
      <c r="G18" s="985"/>
    </row>
    <row r="19" spans="1:7" ht="54.6" customHeight="1">
      <c r="A19" s="578">
        <f>A17+1</f>
        <v>7</v>
      </c>
      <c r="B19" s="589" t="s">
        <v>1354</v>
      </c>
      <c r="C19" s="589"/>
      <c r="D19" s="588" t="s">
        <v>113</v>
      </c>
      <c r="E19" s="727">
        <v>8</v>
      </c>
      <c r="F19" s="853"/>
      <c r="G19" s="985">
        <f t="shared" si="0"/>
        <v>0</v>
      </c>
    </row>
    <row r="20" spans="1:7" ht="9" customHeight="1">
      <c r="A20" s="578"/>
      <c r="B20" s="593"/>
      <c r="C20" s="593"/>
      <c r="D20" s="728"/>
      <c r="E20" s="588"/>
      <c r="F20" s="853"/>
      <c r="G20" s="985"/>
    </row>
    <row r="21" spans="1:7" ht="27" customHeight="1">
      <c r="A21" s="578">
        <f>A19+1</f>
        <v>8</v>
      </c>
      <c r="B21" s="593" t="s">
        <v>1355</v>
      </c>
      <c r="C21" s="593"/>
      <c r="D21" s="588" t="s">
        <v>113</v>
      </c>
      <c r="E21" s="727">
        <v>2</v>
      </c>
      <c r="F21" s="853"/>
      <c r="G21" s="985">
        <f t="shared" si="0"/>
        <v>0</v>
      </c>
    </row>
    <row r="22" spans="1:7" ht="9" customHeight="1">
      <c r="A22" s="578"/>
      <c r="B22" s="593"/>
      <c r="C22" s="593"/>
      <c r="D22" s="588"/>
      <c r="E22" s="588"/>
      <c r="F22" s="853"/>
      <c r="G22" s="985"/>
    </row>
    <row r="23" spans="1:7" ht="38.25">
      <c r="A23" s="578">
        <f>A21+1</f>
        <v>9</v>
      </c>
      <c r="B23" s="593" t="s">
        <v>1356</v>
      </c>
      <c r="C23" s="593"/>
      <c r="D23" s="588" t="s">
        <v>113</v>
      </c>
      <c r="E23" s="727">
        <v>2</v>
      </c>
      <c r="F23" s="853"/>
      <c r="G23" s="985">
        <f t="shared" si="0"/>
        <v>0</v>
      </c>
    </row>
    <row r="24" spans="1:7" ht="9" customHeight="1">
      <c r="A24" s="578"/>
      <c r="B24" s="593"/>
      <c r="C24" s="593"/>
      <c r="D24" s="588"/>
      <c r="E24" s="588"/>
      <c r="F24" s="853"/>
      <c r="G24" s="985"/>
    </row>
    <row r="25" spans="1:7" ht="54.6" customHeight="1">
      <c r="A25" s="578">
        <f>A23+1</f>
        <v>10</v>
      </c>
      <c r="B25" s="589" t="s">
        <v>1357</v>
      </c>
      <c r="C25" s="589"/>
      <c r="D25" s="588" t="s">
        <v>113</v>
      </c>
      <c r="E25" s="727">
        <v>2</v>
      </c>
      <c r="F25" s="853"/>
      <c r="G25" s="985">
        <f t="shared" si="0"/>
        <v>0</v>
      </c>
    </row>
    <row r="26" spans="1:7" ht="9" customHeight="1">
      <c r="A26" s="578"/>
      <c r="B26" s="593"/>
      <c r="C26" s="593"/>
      <c r="D26" s="588"/>
      <c r="E26" s="588"/>
      <c r="F26" s="853"/>
      <c r="G26" s="985"/>
    </row>
    <row r="27" spans="1:7" ht="28.15" customHeight="1">
      <c r="A27" s="578">
        <f>A25+1</f>
        <v>11</v>
      </c>
      <c r="B27" s="593" t="s">
        <v>951</v>
      </c>
      <c r="C27" s="593"/>
      <c r="D27" s="588" t="s">
        <v>113</v>
      </c>
      <c r="E27" s="727">
        <v>2</v>
      </c>
      <c r="F27" s="853"/>
      <c r="G27" s="985">
        <f t="shared" si="0"/>
        <v>0</v>
      </c>
    </row>
    <row r="28" spans="1:7" ht="9" customHeight="1">
      <c r="A28" s="578"/>
      <c r="B28" s="593"/>
      <c r="C28" s="593"/>
      <c r="D28" s="588"/>
      <c r="E28" s="588"/>
      <c r="F28" s="853"/>
      <c r="G28" s="985"/>
    </row>
    <row r="29" spans="1:7" s="216" customFormat="1" ht="12.75">
      <c r="A29" s="578"/>
      <c r="B29" s="729" t="s">
        <v>950</v>
      </c>
      <c r="C29" s="729"/>
      <c r="D29" s="588"/>
      <c r="E29" s="588"/>
      <c r="F29" s="853"/>
      <c r="G29" s="985"/>
    </row>
    <row r="30" spans="1:7" ht="29.45" customHeight="1">
      <c r="A30" s="578">
        <f>A27+1</f>
        <v>12</v>
      </c>
      <c r="B30" s="589" t="s">
        <v>949</v>
      </c>
      <c r="C30" s="589"/>
      <c r="D30" s="588" t="s">
        <v>824</v>
      </c>
      <c r="E30" s="727">
        <v>280</v>
      </c>
      <c r="F30" s="853"/>
      <c r="G30" s="985">
        <f t="shared" si="0"/>
        <v>0</v>
      </c>
    </row>
    <row r="31" spans="1:7" ht="9" customHeight="1">
      <c r="A31" s="578"/>
      <c r="B31" s="593"/>
      <c r="C31" s="593"/>
      <c r="D31" s="588"/>
      <c r="E31" s="588"/>
      <c r="F31" s="853"/>
      <c r="G31" s="985"/>
    </row>
    <row r="32" spans="1:7" ht="56.45" customHeight="1">
      <c r="A32" s="578">
        <f>A30+1</f>
        <v>13</v>
      </c>
      <c r="B32" s="593" t="s">
        <v>1358</v>
      </c>
      <c r="C32" s="593"/>
      <c r="D32" s="588" t="s">
        <v>113</v>
      </c>
      <c r="E32" s="727">
        <v>80</v>
      </c>
      <c r="F32" s="853"/>
      <c r="G32" s="985">
        <f t="shared" si="0"/>
        <v>0</v>
      </c>
    </row>
    <row r="33" spans="1:10" ht="9" customHeight="1">
      <c r="A33" s="578"/>
      <c r="B33" s="593"/>
      <c r="C33" s="593"/>
      <c r="D33" s="728"/>
      <c r="E33" s="588"/>
      <c r="F33" s="853"/>
      <c r="G33" s="985"/>
    </row>
    <row r="34" spans="1:10" ht="42" customHeight="1">
      <c r="A34" s="578">
        <f>A32+1</f>
        <v>14</v>
      </c>
      <c r="B34" s="589" t="s">
        <v>1359</v>
      </c>
      <c r="C34" s="589"/>
      <c r="D34" s="588" t="s">
        <v>113</v>
      </c>
      <c r="E34" s="727">
        <v>26</v>
      </c>
      <c r="F34" s="853"/>
      <c r="G34" s="985">
        <f t="shared" si="0"/>
        <v>0</v>
      </c>
    </row>
    <row r="35" spans="1:10" s="216" customFormat="1" ht="9" customHeight="1">
      <c r="A35" s="578"/>
      <c r="B35" s="593"/>
      <c r="C35" s="593"/>
      <c r="D35" s="588"/>
      <c r="E35" s="588"/>
      <c r="F35" s="853"/>
      <c r="G35" s="985"/>
    </row>
    <row r="36" spans="1:10" s="228" customFormat="1" ht="57" customHeight="1">
      <c r="A36" s="578">
        <f>A34+1</f>
        <v>15</v>
      </c>
      <c r="B36" s="593" t="s">
        <v>948</v>
      </c>
      <c r="C36" s="580"/>
      <c r="D36" s="588" t="s">
        <v>93</v>
      </c>
      <c r="E36" s="727">
        <v>25</v>
      </c>
      <c r="F36" s="855"/>
      <c r="G36" s="985">
        <f t="shared" si="0"/>
        <v>0</v>
      </c>
      <c r="H36" s="243"/>
      <c r="I36" s="242"/>
      <c r="J36" s="242"/>
    </row>
    <row r="37" spans="1:10" ht="9" customHeight="1">
      <c r="A37" s="578"/>
      <c r="B37" s="593"/>
      <c r="C37" s="580"/>
      <c r="D37" s="588"/>
      <c r="E37" s="588"/>
      <c r="F37" s="855"/>
      <c r="G37" s="985"/>
      <c r="H37" s="237"/>
      <c r="I37" s="237"/>
      <c r="J37" s="216"/>
    </row>
    <row r="38" spans="1:10" s="193" customFormat="1" ht="29.45" customHeight="1">
      <c r="A38" s="578">
        <f>A36+1</f>
        <v>16</v>
      </c>
      <c r="B38" s="579" t="s">
        <v>947</v>
      </c>
      <c r="C38" s="580"/>
      <c r="D38" s="588" t="s">
        <v>1305</v>
      </c>
      <c r="E38" s="581">
        <v>12.4</v>
      </c>
      <c r="F38" s="853"/>
      <c r="G38" s="985">
        <f t="shared" si="0"/>
        <v>0</v>
      </c>
      <c r="I38" s="230" t="str">
        <f>IF(F38="","VNESI CENO NA ENOTO!","")</f>
        <v>VNESI CENO NA ENOTO!</v>
      </c>
    </row>
    <row r="39" spans="1:10" ht="9" customHeight="1">
      <c r="A39" s="578"/>
      <c r="B39" s="579"/>
      <c r="C39" s="579"/>
      <c r="D39" s="580"/>
      <c r="E39" s="581"/>
      <c r="F39" s="853"/>
      <c r="G39" s="985"/>
      <c r="H39" s="223"/>
    </row>
    <row r="40" spans="1:10" s="193" customFormat="1" ht="27" customHeight="1">
      <c r="A40" s="578">
        <f>A38+1</f>
        <v>17</v>
      </c>
      <c r="B40" s="579" t="s">
        <v>946</v>
      </c>
      <c r="C40" s="580"/>
      <c r="D40" s="588" t="s">
        <v>1305</v>
      </c>
      <c r="E40" s="581">
        <v>3.1</v>
      </c>
      <c r="F40" s="853"/>
      <c r="G40" s="985">
        <f t="shared" si="0"/>
        <v>0</v>
      </c>
      <c r="I40" s="230" t="str">
        <f>IF(F40="","VNESI CENO NA ENOTO!","")</f>
        <v>VNESI CENO NA ENOTO!</v>
      </c>
    </row>
    <row r="41" spans="1:10" ht="9" customHeight="1">
      <c r="A41" s="578"/>
      <c r="B41" s="579"/>
      <c r="C41" s="579"/>
      <c r="D41" s="580"/>
      <c r="E41" s="581"/>
      <c r="F41" s="853"/>
      <c r="G41" s="985"/>
      <c r="H41" s="223"/>
    </row>
    <row r="42" spans="1:10" s="193" customFormat="1" ht="30" customHeight="1">
      <c r="A42" s="578">
        <f>A40+1</f>
        <v>18</v>
      </c>
      <c r="B42" s="579" t="s">
        <v>945</v>
      </c>
      <c r="C42" s="580"/>
      <c r="D42" s="588" t="s">
        <v>1305</v>
      </c>
      <c r="E42" s="581">
        <v>15.5</v>
      </c>
      <c r="F42" s="853"/>
      <c r="G42" s="985">
        <f t="shared" si="0"/>
        <v>0</v>
      </c>
      <c r="I42" s="230" t="str">
        <f>IF(F42="","VNESI CENO NA ENOTO!","")</f>
        <v>VNESI CENO NA ENOTO!</v>
      </c>
    </row>
    <row r="43" spans="1:10" ht="9" customHeight="1">
      <c r="A43" s="578"/>
      <c r="B43" s="579"/>
      <c r="C43" s="580"/>
      <c r="D43" s="580"/>
      <c r="E43" s="581"/>
      <c r="F43" s="853"/>
      <c r="G43" s="985"/>
      <c r="H43" s="223"/>
    </row>
    <row r="44" spans="1:10" ht="121.9" customHeight="1">
      <c r="A44" s="578">
        <f>A42+1</f>
        <v>19</v>
      </c>
      <c r="B44" s="590" t="s">
        <v>1360</v>
      </c>
      <c r="C44" s="590"/>
      <c r="D44" s="588" t="s">
        <v>113</v>
      </c>
      <c r="E44" s="727">
        <v>1</v>
      </c>
      <c r="F44" s="855"/>
      <c r="G44" s="985">
        <f t="shared" si="0"/>
        <v>0</v>
      </c>
    </row>
    <row r="45" spans="1:10">
      <c r="A45" s="588"/>
      <c r="B45" s="589"/>
      <c r="C45" s="590"/>
      <c r="D45" s="588"/>
      <c r="E45" s="588"/>
      <c r="F45" s="853"/>
      <c r="G45" s="985"/>
      <c r="I45" s="222"/>
    </row>
    <row r="46" spans="1:10" ht="15" thickBot="1">
      <c r="A46" s="724" t="s">
        <v>805</v>
      </c>
      <c r="B46" s="599"/>
      <c r="C46" s="600"/>
      <c r="D46" s="601"/>
      <c r="E46" s="602"/>
      <c r="F46" s="857"/>
      <c r="G46" s="1010">
        <f>ROUND(SUM(G6:G44),1)</f>
        <v>0</v>
      </c>
      <c r="I46" s="222"/>
    </row>
    <row r="47" spans="1:10">
      <c r="A47" s="216"/>
      <c r="D47" s="216"/>
      <c r="E47" s="216"/>
      <c r="F47" s="858"/>
      <c r="G47" s="990"/>
      <c r="I47" s="222"/>
    </row>
    <row r="48" spans="1:10">
      <c r="A48" s="216"/>
      <c r="D48" s="216"/>
      <c r="E48" s="216"/>
      <c r="F48" s="858"/>
      <c r="G48" s="990"/>
      <c r="I48" s="216"/>
    </row>
    <row r="49" spans="1:9">
      <c r="A49" s="216"/>
      <c r="D49" s="216"/>
      <c r="E49" s="216"/>
      <c r="F49" s="858"/>
      <c r="G49" s="990"/>
      <c r="I49" s="216"/>
    </row>
    <row r="50" spans="1:9">
      <c r="A50" s="216"/>
      <c r="D50" s="216"/>
      <c r="E50" s="216"/>
      <c r="F50" s="858"/>
      <c r="G50" s="990"/>
      <c r="I50" s="216"/>
    </row>
    <row r="51" spans="1:9">
      <c r="A51" s="216"/>
      <c r="D51" s="216"/>
      <c r="E51" s="216"/>
      <c r="F51" s="858"/>
      <c r="G51" s="990"/>
      <c r="I51" s="216"/>
    </row>
    <row r="52" spans="1:9">
      <c r="A52" s="216"/>
      <c r="D52" s="216"/>
      <c r="E52" s="216"/>
      <c r="F52" s="858"/>
      <c r="G52" s="990"/>
      <c r="I52" s="216"/>
    </row>
    <row r="53" spans="1:9">
      <c r="A53" s="216"/>
      <c r="D53" s="216"/>
      <c r="E53" s="216"/>
      <c r="F53" s="858"/>
      <c r="G53" s="990"/>
      <c r="I53" s="216"/>
    </row>
    <row r="54" spans="1:9">
      <c r="A54" s="216"/>
      <c r="D54" s="216"/>
      <c r="E54" s="216"/>
      <c r="F54" s="858"/>
      <c r="G54" s="990"/>
      <c r="I54" s="216"/>
    </row>
    <row r="55" spans="1:9">
      <c r="A55" s="216"/>
      <c r="D55" s="216"/>
      <c r="E55" s="216"/>
      <c r="F55" s="858"/>
      <c r="G55" s="990"/>
      <c r="I55" s="216"/>
    </row>
    <row r="56" spans="1:9">
      <c r="A56" s="216"/>
      <c r="D56" s="216"/>
      <c r="E56" s="216"/>
      <c r="F56" s="858"/>
      <c r="G56" s="990"/>
      <c r="I56" s="216"/>
    </row>
    <row r="57" spans="1:9">
      <c r="A57" s="216"/>
      <c r="D57" s="216"/>
      <c r="E57" s="216"/>
      <c r="F57" s="858"/>
      <c r="G57" s="990"/>
      <c r="I57" s="216"/>
    </row>
    <row r="58" spans="1:9">
      <c r="A58" s="216"/>
      <c r="D58" s="216"/>
      <c r="E58" s="216"/>
      <c r="F58" s="858"/>
      <c r="G58" s="990"/>
      <c r="I58" s="216"/>
    </row>
    <row r="59" spans="1:9">
      <c r="A59" s="216"/>
      <c r="D59" s="216"/>
      <c r="E59" s="216"/>
      <c r="F59" s="858"/>
      <c r="G59" s="990"/>
      <c r="I59" s="216"/>
    </row>
    <row r="60" spans="1:9">
      <c r="A60" s="216"/>
      <c r="D60" s="216"/>
      <c r="E60" s="216"/>
      <c r="F60" s="858"/>
      <c r="G60" s="990"/>
      <c r="I60" s="216"/>
    </row>
    <row r="61" spans="1:9">
      <c r="A61" s="216"/>
      <c r="D61" s="216"/>
      <c r="E61" s="216"/>
      <c r="F61" s="858"/>
      <c r="G61" s="990"/>
      <c r="I61" s="216"/>
    </row>
    <row r="62" spans="1:9">
      <c r="A62" s="216"/>
      <c r="D62" s="216"/>
      <c r="E62" s="216"/>
      <c r="F62" s="858"/>
      <c r="G62" s="990"/>
      <c r="I62" s="216"/>
    </row>
    <row r="63" spans="1:9">
      <c r="A63" s="216"/>
      <c r="D63" s="216"/>
      <c r="E63" s="216"/>
      <c r="F63" s="858"/>
      <c r="G63" s="990"/>
      <c r="I63" s="216"/>
    </row>
    <row r="64" spans="1:9">
      <c r="A64" s="216"/>
      <c r="D64" s="216"/>
      <c r="E64" s="216"/>
      <c r="F64" s="858"/>
      <c r="G64" s="990"/>
      <c r="I64" s="216"/>
    </row>
    <row r="65" spans="1:9">
      <c r="A65" s="216"/>
      <c r="D65" s="216"/>
      <c r="E65" s="216"/>
      <c r="F65" s="858"/>
      <c r="G65" s="990"/>
      <c r="I65" s="216"/>
    </row>
    <row r="66" spans="1:9">
      <c r="A66" s="216"/>
      <c r="D66" s="216"/>
      <c r="E66" s="216"/>
      <c r="F66" s="858"/>
      <c r="G66" s="990"/>
      <c r="I66" s="216"/>
    </row>
    <row r="67" spans="1:9">
      <c r="A67" s="216"/>
      <c r="D67" s="216"/>
      <c r="E67" s="216"/>
      <c r="F67" s="858"/>
      <c r="G67" s="990"/>
      <c r="I67" s="216"/>
    </row>
    <row r="68" spans="1:9">
      <c r="A68" s="216"/>
      <c r="D68" s="216"/>
      <c r="E68" s="216"/>
      <c r="F68" s="858"/>
      <c r="G68" s="990"/>
      <c r="I68" s="216"/>
    </row>
    <row r="69" spans="1:9">
      <c r="A69" s="216"/>
      <c r="D69" s="216"/>
      <c r="E69" s="216"/>
      <c r="F69" s="858"/>
      <c r="G69" s="990"/>
      <c r="I69" s="216"/>
    </row>
    <row r="70" spans="1:9">
      <c r="A70" s="216"/>
      <c r="D70" s="216"/>
      <c r="E70" s="216"/>
      <c r="F70" s="858"/>
      <c r="G70" s="990"/>
      <c r="I70" s="216"/>
    </row>
    <row r="71" spans="1:9">
      <c r="A71" s="216"/>
      <c r="D71" s="216"/>
      <c r="E71" s="216"/>
      <c r="F71" s="858"/>
      <c r="G71" s="990"/>
      <c r="I71" s="216"/>
    </row>
    <row r="72" spans="1:9">
      <c r="A72" s="216"/>
      <c r="D72" s="216"/>
      <c r="E72" s="216"/>
      <c r="F72" s="858"/>
      <c r="G72" s="990"/>
      <c r="I72" s="216"/>
    </row>
    <row r="73" spans="1:9">
      <c r="A73" s="216"/>
      <c r="D73" s="216"/>
      <c r="E73" s="216"/>
      <c r="F73" s="858"/>
      <c r="G73" s="990"/>
      <c r="I73" s="216"/>
    </row>
    <row r="74" spans="1:9">
      <c r="A74" s="216"/>
      <c r="D74" s="216"/>
      <c r="E74" s="216"/>
      <c r="F74" s="858"/>
      <c r="G74" s="990"/>
      <c r="I74" s="216"/>
    </row>
    <row r="75" spans="1:9">
      <c r="A75" s="216"/>
      <c r="D75" s="216"/>
      <c r="E75" s="216"/>
      <c r="F75" s="858"/>
      <c r="G75" s="990"/>
      <c r="I75" s="216"/>
    </row>
    <row r="76" spans="1:9">
      <c r="A76" s="216"/>
      <c r="D76" s="216"/>
      <c r="E76" s="216"/>
      <c r="F76" s="858"/>
      <c r="G76" s="990"/>
      <c r="I76" s="216"/>
    </row>
    <row r="77" spans="1:9">
      <c r="A77" s="216"/>
      <c r="D77" s="216"/>
      <c r="E77" s="216"/>
      <c r="F77" s="858"/>
      <c r="G77" s="990"/>
      <c r="I77" s="216"/>
    </row>
    <row r="78" spans="1:9">
      <c r="A78" s="216"/>
      <c r="D78" s="216"/>
      <c r="E78" s="216"/>
      <c r="F78" s="858"/>
      <c r="G78" s="990"/>
      <c r="I78" s="216"/>
    </row>
    <row r="79" spans="1:9">
      <c r="A79" s="216"/>
      <c r="D79" s="216"/>
      <c r="E79" s="216"/>
      <c r="F79" s="858"/>
      <c r="G79" s="990"/>
      <c r="I79" s="216"/>
    </row>
    <row r="80" spans="1:9">
      <c r="A80" s="216"/>
      <c r="D80" s="216"/>
      <c r="E80" s="216"/>
      <c r="F80" s="858"/>
      <c r="G80" s="990"/>
      <c r="I80" s="216"/>
    </row>
    <row r="81" spans="1:9">
      <c r="A81" s="216"/>
      <c r="D81" s="216"/>
      <c r="E81" s="216"/>
      <c r="F81" s="858"/>
      <c r="G81" s="990"/>
      <c r="I81" s="216"/>
    </row>
    <row r="82" spans="1:9">
      <c r="A82" s="216"/>
      <c r="D82" s="216"/>
      <c r="E82" s="216"/>
      <c r="F82" s="858"/>
      <c r="G82" s="990"/>
      <c r="I82" s="216"/>
    </row>
    <row r="83" spans="1:9">
      <c r="A83" s="216"/>
      <c r="D83" s="216"/>
      <c r="E83" s="216"/>
      <c r="F83" s="858"/>
      <c r="G83" s="990"/>
      <c r="I83" s="216"/>
    </row>
    <row r="84" spans="1:9">
      <c r="A84" s="216"/>
      <c r="D84" s="216"/>
      <c r="E84" s="216"/>
      <c r="F84" s="858"/>
      <c r="G84" s="990"/>
      <c r="I84" s="216"/>
    </row>
    <row r="85" spans="1:9">
      <c r="A85" s="216"/>
      <c r="D85" s="216"/>
      <c r="E85" s="216"/>
      <c r="F85" s="858"/>
      <c r="G85" s="990"/>
      <c r="I85" s="216"/>
    </row>
    <row r="86" spans="1:9">
      <c r="A86" s="216"/>
      <c r="D86" s="216"/>
      <c r="E86" s="216"/>
      <c r="F86" s="858"/>
      <c r="G86" s="990"/>
      <c r="I86" s="216"/>
    </row>
    <row r="87" spans="1:9">
      <c r="A87" s="216"/>
      <c r="D87" s="216"/>
      <c r="E87" s="216"/>
      <c r="F87" s="858"/>
      <c r="G87" s="990"/>
      <c r="I87" s="216"/>
    </row>
    <row r="88" spans="1:9">
      <c r="A88" s="216"/>
      <c r="D88" s="216"/>
      <c r="E88" s="216"/>
      <c r="F88" s="858"/>
      <c r="G88" s="990"/>
      <c r="I88" s="216"/>
    </row>
    <row r="89" spans="1:9">
      <c r="A89" s="216"/>
      <c r="D89" s="216"/>
      <c r="E89" s="216"/>
      <c r="F89" s="858"/>
      <c r="G89" s="990"/>
      <c r="I89" s="216"/>
    </row>
    <row r="90" spans="1:9">
      <c r="A90" s="216"/>
      <c r="D90" s="216"/>
      <c r="E90" s="216"/>
      <c r="F90" s="858"/>
      <c r="G90" s="990"/>
      <c r="I90" s="216"/>
    </row>
    <row r="91" spans="1:9">
      <c r="A91" s="216"/>
      <c r="D91" s="216"/>
      <c r="E91" s="216"/>
      <c r="F91" s="858"/>
      <c r="G91" s="990"/>
      <c r="I91" s="216"/>
    </row>
    <row r="92" spans="1:9" ht="52.5" customHeight="1">
      <c r="A92" s="216"/>
      <c r="D92" s="216"/>
      <c r="E92" s="216"/>
      <c r="F92" s="858"/>
      <c r="G92" s="990"/>
      <c r="I92" s="216"/>
    </row>
    <row r="93" spans="1:9">
      <c r="A93" s="216"/>
      <c r="D93" s="216"/>
      <c r="E93" s="216"/>
      <c r="F93" s="858"/>
      <c r="G93" s="990"/>
      <c r="I93" s="216"/>
    </row>
    <row r="94" spans="1:9">
      <c r="A94" s="216"/>
      <c r="D94" s="216"/>
      <c r="E94" s="216"/>
      <c r="F94" s="858"/>
      <c r="G94" s="990"/>
      <c r="I94" s="216"/>
    </row>
    <row r="95" spans="1:9">
      <c r="A95" s="216"/>
      <c r="D95" s="216"/>
      <c r="E95" s="216"/>
      <c r="F95" s="858"/>
      <c r="G95" s="990"/>
      <c r="I95" s="216"/>
    </row>
    <row r="96" spans="1:9">
      <c r="A96" s="216"/>
      <c r="D96" s="216"/>
      <c r="E96" s="216"/>
      <c r="F96" s="858"/>
      <c r="G96" s="990"/>
      <c r="I96" s="216"/>
    </row>
    <row r="97" spans="1:9">
      <c r="A97" s="216"/>
      <c r="D97" s="216"/>
      <c r="E97" s="216"/>
      <c r="F97" s="858"/>
      <c r="G97" s="990"/>
      <c r="I97" s="216"/>
    </row>
    <row r="98" spans="1:9">
      <c r="A98" s="216"/>
      <c r="D98" s="216"/>
      <c r="E98" s="216"/>
      <c r="F98" s="858"/>
      <c r="G98" s="990"/>
      <c r="I98" s="216"/>
    </row>
    <row r="99" spans="1:9">
      <c r="A99" s="216"/>
      <c r="D99" s="216"/>
      <c r="E99" s="216"/>
      <c r="F99" s="858"/>
      <c r="G99" s="990"/>
      <c r="I99" s="216"/>
    </row>
    <row r="100" spans="1:9">
      <c r="A100" s="216"/>
      <c r="D100" s="216"/>
      <c r="E100" s="216"/>
      <c r="F100" s="858"/>
      <c r="G100" s="990"/>
      <c r="I100" s="216"/>
    </row>
    <row r="101" spans="1:9">
      <c r="A101" s="216"/>
      <c r="D101" s="216"/>
      <c r="E101" s="216"/>
      <c r="F101" s="858"/>
      <c r="G101" s="990"/>
      <c r="I101" s="216"/>
    </row>
    <row r="102" spans="1:9">
      <c r="A102" s="216"/>
      <c r="D102" s="216"/>
      <c r="E102" s="216"/>
      <c r="F102" s="858"/>
      <c r="G102" s="990"/>
      <c r="I102" s="216"/>
    </row>
    <row r="103" spans="1:9">
      <c r="A103" s="216"/>
      <c r="D103" s="216"/>
      <c r="E103" s="216"/>
      <c r="F103" s="858"/>
      <c r="G103" s="990"/>
      <c r="I103" s="216"/>
    </row>
    <row r="104" spans="1:9">
      <c r="A104" s="216"/>
      <c r="D104" s="216"/>
      <c r="E104" s="216"/>
      <c r="F104" s="858"/>
      <c r="G104" s="990"/>
      <c r="I104" s="216"/>
    </row>
    <row r="105" spans="1:9">
      <c r="A105" s="216"/>
      <c r="D105" s="216"/>
      <c r="E105" s="216"/>
      <c r="F105" s="858"/>
      <c r="G105" s="990"/>
      <c r="I105" s="216"/>
    </row>
    <row r="106" spans="1:9">
      <c r="A106" s="216"/>
      <c r="D106" s="216"/>
      <c r="E106" s="216"/>
      <c r="F106" s="858"/>
      <c r="G106" s="990"/>
      <c r="I106" s="216"/>
    </row>
    <row r="107" spans="1:9">
      <c r="A107" s="216"/>
      <c r="D107" s="216"/>
      <c r="E107" s="216"/>
      <c r="F107" s="858"/>
      <c r="G107" s="990"/>
      <c r="I107" s="216"/>
    </row>
    <row r="108" spans="1:9">
      <c r="A108" s="216"/>
      <c r="D108" s="216"/>
      <c r="E108" s="216"/>
      <c r="F108" s="858"/>
      <c r="G108" s="990"/>
      <c r="I108" s="216"/>
    </row>
    <row r="109" spans="1:9">
      <c r="A109" s="216"/>
      <c r="D109" s="216"/>
      <c r="E109" s="216"/>
      <c r="F109" s="858"/>
      <c r="G109" s="990"/>
      <c r="I109" s="216"/>
    </row>
    <row r="110" spans="1:9">
      <c r="A110" s="216"/>
      <c r="D110" s="216"/>
      <c r="E110" s="216"/>
      <c r="F110" s="858"/>
      <c r="G110" s="990"/>
      <c r="I110" s="216"/>
    </row>
    <row r="111" spans="1:9">
      <c r="A111" s="216"/>
      <c r="D111" s="216"/>
      <c r="E111" s="216"/>
      <c r="F111" s="858"/>
      <c r="G111" s="990"/>
      <c r="I111" s="216"/>
    </row>
    <row r="112" spans="1:9">
      <c r="A112" s="216"/>
      <c r="D112" s="216"/>
      <c r="E112" s="216"/>
      <c r="F112" s="858"/>
      <c r="G112" s="990"/>
      <c r="I112" s="216"/>
    </row>
    <row r="113" spans="1:9">
      <c r="A113" s="216"/>
      <c r="D113" s="216"/>
      <c r="E113" s="216"/>
      <c r="F113" s="858"/>
      <c r="G113" s="990"/>
      <c r="I113" s="216"/>
    </row>
    <row r="114" spans="1:9">
      <c r="A114" s="216"/>
      <c r="D114" s="216"/>
      <c r="E114" s="216"/>
      <c r="F114" s="858"/>
      <c r="G114" s="990"/>
      <c r="I114" s="216"/>
    </row>
    <row r="115" spans="1:9">
      <c r="A115" s="216"/>
      <c r="D115" s="216"/>
      <c r="E115" s="216"/>
      <c r="F115" s="858"/>
      <c r="G115" s="990"/>
      <c r="I115" s="216"/>
    </row>
    <row r="116" spans="1:9">
      <c r="A116" s="216"/>
      <c r="D116" s="216"/>
      <c r="E116" s="216"/>
      <c r="F116" s="858"/>
      <c r="G116" s="990"/>
      <c r="I116" s="216"/>
    </row>
    <row r="117" spans="1:9">
      <c r="A117" s="216"/>
      <c r="D117" s="216"/>
      <c r="E117" s="216"/>
      <c r="F117" s="858"/>
      <c r="G117" s="990"/>
      <c r="I117" s="216"/>
    </row>
    <row r="118" spans="1:9">
      <c r="A118" s="216"/>
      <c r="D118" s="216"/>
      <c r="E118" s="216"/>
      <c r="F118" s="858"/>
      <c r="G118" s="990"/>
      <c r="I118" s="216"/>
    </row>
    <row r="119" spans="1:9">
      <c r="A119" s="216"/>
      <c r="D119" s="216"/>
      <c r="E119" s="216"/>
      <c r="F119" s="858"/>
      <c r="G119" s="990"/>
      <c r="I119" s="216"/>
    </row>
    <row r="120" spans="1:9">
      <c r="A120" s="216"/>
      <c r="D120" s="216"/>
      <c r="E120" s="216"/>
      <c r="F120" s="858"/>
      <c r="G120" s="990"/>
      <c r="I120" s="216"/>
    </row>
    <row r="121" spans="1:9">
      <c r="A121" s="216"/>
      <c r="D121" s="216"/>
      <c r="E121" s="216"/>
      <c r="F121" s="858"/>
      <c r="G121" s="990"/>
      <c r="I121" s="216"/>
    </row>
    <row r="122" spans="1:9">
      <c r="A122" s="216"/>
      <c r="D122" s="216"/>
      <c r="E122" s="216"/>
      <c r="F122" s="858"/>
      <c r="G122" s="990"/>
      <c r="I122" s="216"/>
    </row>
    <row r="123" spans="1:9">
      <c r="A123" s="216"/>
      <c r="D123" s="216"/>
      <c r="E123" s="216"/>
      <c r="F123" s="858"/>
      <c r="G123" s="990"/>
      <c r="I123" s="216"/>
    </row>
    <row r="124" spans="1:9">
      <c r="A124" s="216"/>
      <c r="D124" s="216"/>
      <c r="E124" s="216"/>
      <c r="F124" s="858"/>
      <c r="G124" s="990"/>
      <c r="I124" s="216"/>
    </row>
    <row r="125" spans="1:9">
      <c r="A125" s="216"/>
      <c r="D125" s="216"/>
      <c r="E125" s="216"/>
      <c r="F125" s="858"/>
      <c r="G125" s="990"/>
      <c r="I125" s="216"/>
    </row>
    <row r="126" spans="1:9">
      <c r="A126" s="216"/>
      <c r="D126" s="216"/>
      <c r="E126" s="216"/>
      <c r="F126" s="858"/>
      <c r="G126" s="990"/>
      <c r="I126" s="216"/>
    </row>
    <row r="127" spans="1:9">
      <c r="A127" s="216"/>
      <c r="D127" s="216"/>
      <c r="E127" s="216"/>
      <c r="F127" s="858"/>
      <c r="G127" s="990"/>
      <c r="I127" s="216"/>
    </row>
    <row r="128" spans="1:9">
      <c r="A128" s="216"/>
      <c r="D128" s="216"/>
      <c r="E128" s="216"/>
      <c r="F128" s="858"/>
      <c r="G128" s="990"/>
      <c r="I128" s="216"/>
    </row>
    <row r="129" spans="1:9">
      <c r="A129" s="216"/>
      <c r="D129" s="216"/>
      <c r="E129" s="216"/>
      <c r="F129" s="858"/>
      <c r="G129" s="990"/>
      <c r="I129" s="216"/>
    </row>
    <row r="130" spans="1:9">
      <c r="A130" s="216"/>
      <c r="D130" s="216"/>
      <c r="E130" s="216"/>
      <c r="F130" s="858"/>
      <c r="G130" s="990"/>
      <c r="I130" s="216"/>
    </row>
    <row r="131" spans="1:9">
      <c r="A131" s="216"/>
      <c r="D131" s="216"/>
      <c r="E131" s="216"/>
      <c r="F131" s="858"/>
      <c r="G131" s="990"/>
      <c r="I131" s="216"/>
    </row>
    <row r="132" spans="1:9">
      <c r="A132" s="216"/>
      <c r="D132" s="216"/>
      <c r="E132" s="216"/>
      <c r="F132" s="858"/>
      <c r="G132" s="990"/>
      <c r="I132" s="216"/>
    </row>
    <row r="133" spans="1:9">
      <c r="A133" s="216"/>
      <c r="D133" s="216"/>
      <c r="E133" s="216"/>
      <c r="F133" s="858"/>
      <c r="G133" s="990"/>
      <c r="I133" s="216"/>
    </row>
    <row r="134" spans="1:9">
      <c r="A134" s="216"/>
      <c r="D134" s="216"/>
      <c r="E134" s="216"/>
      <c r="F134" s="858"/>
      <c r="G134" s="990"/>
      <c r="I134" s="216"/>
    </row>
    <row r="135" spans="1:9">
      <c r="A135" s="216"/>
      <c r="D135" s="216"/>
      <c r="E135" s="216"/>
      <c r="F135" s="858"/>
      <c r="G135" s="990"/>
      <c r="I135" s="216"/>
    </row>
    <row r="136" spans="1:9">
      <c r="A136" s="216"/>
      <c r="D136" s="216"/>
      <c r="E136" s="216"/>
      <c r="F136" s="858"/>
      <c r="G136" s="990"/>
      <c r="I136" s="216"/>
    </row>
    <row r="137" spans="1:9">
      <c r="A137" s="216"/>
      <c r="D137" s="216"/>
      <c r="E137" s="216"/>
      <c r="F137" s="858"/>
      <c r="G137" s="990"/>
      <c r="I137" s="216"/>
    </row>
    <row r="138" spans="1:9">
      <c r="A138" s="216"/>
      <c r="D138" s="216"/>
      <c r="E138" s="216"/>
      <c r="F138" s="858"/>
      <c r="G138" s="990"/>
      <c r="I138" s="216"/>
    </row>
    <row r="139" spans="1:9">
      <c r="A139" s="216"/>
      <c r="D139" s="216"/>
      <c r="E139" s="216"/>
      <c r="F139" s="858"/>
      <c r="G139" s="990"/>
      <c r="I139" s="216"/>
    </row>
    <row r="140" spans="1:9">
      <c r="A140" s="216"/>
      <c r="D140" s="216"/>
      <c r="E140" s="216"/>
      <c r="F140" s="858"/>
      <c r="G140" s="990"/>
      <c r="I140" s="216"/>
    </row>
    <row r="141" spans="1:9">
      <c r="A141" s="216"/>
      <c r="D141" s="216"/>
      <c r="E141" s="216"/>
      <c r="F141" s="858"/>
      <c r="G141" s="990"/>
      <c r="I141" s="216"/>
    </row>
    <row r="142" spans="1:9">
      <c r="A142" s="216"/>
      <c r="D142" s="216"/>
      <c r="E142" s="216"/>
      <c r="F142" s="858"/>
      <c r="G142" s="990"/>
      <c r="I142" s="216"/>
    </row>
    <row r="143" spans="1:9">
      <c r="A143" s="216"/>
      <c r="D143" s="216"/>
      <c r="E143" s="216"/>
      <c r="F143" s="858"/>
      <c r="G143" s="990"/>
      <c r="I143" s="216"/>
    </row>
    <row r="144" spans="1:9">
      <c r="A144" s="216"/>
      <c r="D144" s="216"/>
      <c r="E144" s="216"/>
      <c r="F144" s="858"/>
      <c r="G144" s="990"/>
      <c r="I144" s="216"/>
    </row>
  </sheetData>
  <sheetProtection algorithmName="SHA-512" hashValue="KVlY8X14UXJSUI6GMk4doazoEGL1zzL/MDfBavJd2hTCPOqFdesJR93xtPKqj0pzFEUC4JeVezvuD5knTYiAkA==" saltValue="swHXwFuQqqXt9Mgj7bRASQ==" spinCount="100000" sheet="1" objects="1" scenarios="1" formatCells="0" formatColumns="0" formatRows="0"/>
  <pageMargins left="1.1023622047244095" right="0.51181102362204722" top="0.59055118110236227" bottom="0.39370078740157483" header="0.19685039370078741" footer="0.11811023622047245"/>
  <pageSetup paperSize="9" orientation="portrait" r:id="rId1"/>
  <headerFooter>
    <oddHeader>&amp;L&amp;"-,Običajno"&amp;8TEHNIČNO POROČILO TER POPIS DEL IN MATERIALA&amp;"Arial CE,Običajno"&amp;10
______________________________________________________________________________________
&amp;R&amp;"-,Običajno"&amp;8 19/&amp;P</oddHeader>
    <oddFooter xml:space="preserve">&amp;L
</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topLeftCell="A11" workbookViewId="0">
      <selection activeCell="G2" sqref="G1:G1048576"/>
    </sheetView>
  </sheetViews>
  <sheetFormatPr defaultRowHeight="14.25"/>
  <cols>
    <col min="1" max="1" width="7" customWidth="1"/>
    <col min="2" max="2" width="36.75" customWidth="1"/>
    <col min="3" max="3" width="1" customWidth="1"/>
    <col min="6" max="6" width="10.625" style="849" bestFit="1" customWidth="1"/>
    <col min="7" max="7" width="10.625" style="883" bestFit="1" customWidth="1"/>
  </cols>
  <sheetData>
    <row r="1" spans="1:7" ht="15.75">
      <c r="A1" s="796" t="s">
        <v>1454</v>
      </c>
      <c r="B1" s="797"/>
      <c r="C1" s="798"/>
      <c r="D1" s="799"/>
      <c r="E1" s="800"/>
      <c r="F1" s="874"/>
      <c r="G1" s="1011"/>
    </row>
    <row r="2" spans="1:7" ht="16.5" thickBot="1">
      <c r="A2" s="801"/>
      <c r="B2" s="802"/>
      <c r="C2" s="803"/>
      <c r="D2" s="804"/>
      <c r="E2" s="804"/>
      <c r="F2" s="875"/>
      <c r="G2" s="1012"/>
    </row>
    <row r="3" spans="1:7" ht="15.75">
      <c r="A3" s="805" t="s">
        <v>850</v>
      </c>
      <c r="B3" s="806" t="s">
        <v>849</v>
      </c>
      <c r="C3" s="807"/>
      <c r="D3" s="808" t="s">
        <v>254</v>
      </c>
      <c r="E3" s="809" t="s">
        <v>848</v>
      </c>
      <c r="F3" s="876" t="s">
        <v>847</v>
      </c>
      <c r="G3" s="1013" t="s">
        <v>846</v>
      </c>
    </row>
    <row r="4" spans="1:7" ht="15.75">
      <c r="A4" s="804"/>
      <c r="B4" s="810"/>
      <c r="C4" s="811"/>
      <c r="D4" s="804"/>
      <c r="E4" s="804"/>
      <c r="F4" s="877"/>
      <c r="G4" s="1014"/>
    </row>
    <row r="5" spans="1:7" ht="409.5">
      <c r="A5" s="801">
        <v>1</v>
      </c>
      <c r="B5" s="812" t="s">
        <v>1425</v>
      </c>
      <c r="C5" s="803"/>
      <c r="D5" s="804" t="s">
        <v>93</v>
      </c>
      <c r="E5" s="813">
        <v>3</v>
      </c>
      <c r="F5" s="877"/>
      <c r="G5" s="1014">
        <f>ROUND(ROUND(E5,2)*ROUND(F5,2),2)</f>
        <v>0</v>
      </c>
    </row>
    <row r="6" spans="1:7" ht="299.25">
      <c r="A6" s="801"/>
      <c r="B6" s="812" t="s">
        <v>1426</v>
      </c>
      <c r="C6" s="812"/>
      <c r="D6" s="803"/>
      <c r="E6" s="813"/>
      <c r="F6" s="877"/>
      <c r="G6" s="1014"/>
    </row>
    <row r="7" spans="1:7" ht="15.75">
      <c r="A7" s="801"/>
      <c r="B7" s="812"/>
      <c r="C7" s="812"/>
      <c r="D7" s="803"/>
      <c r="E7" s="813"/>
      <c r="F7" s="877"/>
      <c r="G7" s="1014"/>
    </row>
    <row r="8" spans="1:7" ht="315">
      <c r="A8" s="801">
        <f>A5+1</f>
        <v>2</v>
      </c>
      <c r="B8" s="812" t="s">
        <v>1427</v>
      </c>
      <c r="C8" s="803"/>
      <c r="D8" s="804" t="s">
        <v>93</v>
      </c>
      <c r="E8" s="813">
        <v>3</v>
      </c>
      <c r="F8" s="877"/>
      <c r="G8" s="1014">
        <f>E8*F8</f>
        <v>0</v>
      </c>
    </row>
    <row r="9" spans="1:7" ht="15.75">
      <c r="A9" s="801"/>
      <c r="B9" s="812"/>
      <c r="C9" s="812"/>
      <c r="D9" s="803"/>
      <c r="E9" s="813"/>
      <c r="F9" s="877"/>
      <c r="G9" s="1014"/>
    </row>
    <row r="10" spans="1:7" ht="204.75">
      <c r="A10" s="801">
        <f>A8+1</f>
        <v>3</v>
      </c>
      <c r="B10" s="812" t="s">
        <v>1428</v>
      </c>
      <c r="C10" s="803"/>
      <c r="D10" s="804" t="s">
        <v>113</v>
      </c>
      <c r="E10" s="813">
        <v>1</v>
      </c>
      <c r="F10" s="877"/>
      <c r="G10" s="1014">
        <f t="shared" ref="G10:G11" si="0">E10*F10</f>
        <v>0</v>
      </c>
    </row>
    <row r="11" spans="1:7" ht="15.75">
      <c r="A11" s="804"/>
      <c r="B11" s="810"/>
      <c r="C11" s="811"/>
      <c r="D11" s="804"/>
      <c r="E11" s="804"/>
      <c r="F11" s="877"/>
      <c r="G11" s="1014">
        <f t="shared" si="0"/>
        <v>0</v>
      </c>
    </row>
    <row r="12" spans="1:7" ht="16.5" thickBot="1">
      <c r="A12" s="814" t="s">
        <v>805</v>
      </c>
      <c r="B12" s="815"/>
      <c r="C12" s="816"/>
      <c r="D12" s="817"/>
      <c r="E12" s="818"/>
      <c r="F12" s="878"/>
      <c r="G12" s="1015">
        <f>ROUND(SUM(G5:G10),1)</f>
        <v>0</v>
      </c>
    </row>
  </sheetData>
  <sheetProtection algorithmName="SHA-512" hashValue="URejlBE02zzRl9jf6bDah0TcEah76b/qIl2cewrArR2cKmnOLIl0U/MfMY4dfPVPy0uYvGS2Mg82JfGRy3CJPQ==" saltValue="HvK2qca/XbQIw4VYrJq4Qg==" spinCount="100000" sheet="1" objects="1" scenarios="1" formatCells="0" formatColumns="0"/>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3"/>
  <sheetViews>
    <sheetView view="pageBreakPreview" zoomScale="125" zoomScaleNormal="100" zoomScaleSheetLayoutView="125" workbookViewId="0">
      <selection activeCell="G1" sqref="G1:G1048576"/>
    </sheetView>
  </sheetViews>
  <sheetFormatPr defaultColWidth="8.125" defaultRowHeight="14.25"/>
  <cols>
    <col min="1" max="1" width="3" style="213" customWidth="1"/>
    <col min="2" max="2" width="39" style="215" customWidth="1"/>
    <col min="3" max="3" width="0.625" style="214" customWidth="1"/>
    <col min="4" max="4" width="4.75" style="213" customWidth="1"/>
    <col min="5" max="5" width="7.5" style="213" customWidth="1"/>
    <col min="6" max="6" width="9.25" style="859" customWidth="1"/>
    <col min="7" max="7" width="10.875" style="991" customWidth="1"/>
    <col min="8" max="8" width="11.125" style="213" hidden="1" customWidth="1"/>
    <col min="9" max="9" width="12.875" style="213" hidden="1" customWidth="1"/>
    <col min="10" max="16384" width="8.125" style="213"/>
  </cols>
  <sheetData>
    <row r="1" spans="1:16">
      <c r="A1" s="557" t="s">
        <v>1113</v>
      </c>
      <c r="B1" s="819" t="s">
        <v>740</v>
      </c>
      <c r="C1" s="558"/>
      <c r="D1" s="559"/>
      <c r="E1" s="560"/>
      <c r="F1" s="852"/>
      <c r="G1" s="984"/>
      <c r="H1" s="235"/>
      <c r="I1" s="234"/>
    </row>
    <row r="2" spans="1:16" ht="15" thickBot="1">
      <c r="A2" s="564"/>
      <c r="B2" s="565"/>
      <c r="C2" s="566"/>
      <c r="D2" s="567"/>
      <c r="E2" s="568"/>
      <c r="F2" s="879"/>
      <c r="G2" s="1016"/>
      <c r="H2" s="246"/>
      <c r="I2" s="245"/>
    </row>
    <row r="3" spans="1:16" s="216" customFormat="1" ht="12.75">
      <c r="A3" s="544" t="s">
        <v>850</v>
      </c>
      <c r="B3" s="545" t="s">
        <v>849</v>
      </c>
      <c r="C3" s="546"/>
      <c r="D3" s="547" t="s">
        <v>254</v>
      </c>
      <c r="E3" s="548" t="s">
        <v>848</v>
      </c>
      <c r="F3" s="854" t="s">
        <v>847</v>
      </c>
      <c r="G3" s="986" t="s">
        <v>846</v>
      </c>
      <c r="H3" s="233" t="s">
        <v>847</v>
      </c>
      <c r="I3" s="232" t="s">
        <v>846</v>
      </c>
    </row>
    <row r="4" spans="1:16" ht="6.75" customHeight="1">
      <c r="A4" s="549"/>
      <c r="B4" s="550"/>
      <c r="C4" s="551"/>
      <c r="D4" s="549"/>
      <c r="E4" s="549"/>
      <c r="F4" s="853"/>
      <c r="G4" s="985"/>
      <c r="H4" s="216"/>
      <c r="I4" s="216"/>
    </row>
    <row r="5" spans="1:16" s="216" customFormat="1" ht="25.5">
      <c r="A5" s="542">
        <v>1</v>
      </c>
      <c r="B5" s="561" t="s">
        <v>962</v>
      </c>
      <c r="C5" s="543"/>
      <c r="D5" s="549" t="s">
        <v>961</v>
      </c>
      <c r="E5" s="549">
        <v>4</v>
      </c>
      <c r="F5" s="853"/>
      <c r="G5" s="985">
        <f>ROUND(ROUND(E5,2)*ROUND(F5,2),2)</f>
        <v>0</v>
      </c>
      <c r="H5" s="223"/>
      <c r="I5" s="223"/>
      <c r="J5" s="213"/>
      <c r="K5" s="213"/>
      <c r="L5" s="213"/>
      <c r="M5" s="213"/>
      <c r="N5" s="213"/>
      <c r="O5" s="213"/>
      <c r="P5" s="213"/>
    </row>
    <row r="6" spans="1:16" ht="9" customHeight="1">
      <c r="A6" s="569"/>
      <c r="B6" s="570"/>
      <c r="C6" s="549"/>
      <c r="D6" s="549"/>
      <c r="E6" s="563"/>
      <c r="F6" s="853"/>
      <c r="G6" s="985"/>
    </row>
    <row r="7" spans="1:16">
      <c r="A7" s="542">
        <f>A5+1</f>
        <v>2</v>
      </c>
      <c r="B7" s="561" t="s">
        <v>960</v>
      </c>
      <c r="C7" s="543"/>
      <c r="D7" s="549" t="s">
        <v>121</v>
      </c>
      <c r="E7" s="549">
        <v>4</v>
      </c>
      <c r="F7" s="853"/>
      <c r="G7" s="985">
        <f t="shared" ref="G7:G17" si="0">ROUND(ROUND(E7,2)*ROUND(F7,2),2)</f>
        <v>0</v>
      </c>
      <c r="H7" s="216"/>
    </row>
    <row r="8" spans="1:16" ht="9" customHeight="1">
      <c r="A8" s="542"/>
      <c r="B8" s="552"/>
      <c r="C8" s="543"/>
      <c r="D8" s="549"/>
      <c r="E8" s="563"/>
      <c r="F8" s="853"/>
      <c r="G8" s="985"/>
      <c r="H8" s="216"/>
    </row>
    <row r="9" spans="1:16" ht="90" customHeight="1">
      <c r="A9" s="542">
        <f>A7+1</f>
        <v>3</v>
      </c>
      <c r="B9" s="551" t="s">
        <v>959</v>
      </c>
      <c r="C9" s="543"/>
      <c r="D9" s="549" t="s">
        <v>93</v>
      </c>
      <c r="E9" s="549">
        <v>1</v>
      </c>
      <c r="F9" s="853"/>
      <c r="G9" s="985">
        <f t="shared" si="0"/>
        <v>0</v>
      </c>
      <c r="H9" s="237">
        <f>E9*G9</f>
        <v>0</v>
      </c>
      <c r="I9" s="223"/>
      <c r="J9" s="223"/>
    </row>
    <row r="10" spans="1:16" ht="9" customHeight="1">
      <c r="A10" s="542"/>
      <c r="B10" s="552"/>
      <c r="C10" s="543"/>
      <c r="D10" s="549"/>
      <c r="E10" s="563"/>
      <c r="F10" s="853"/>
      <c r="G10" s="985"/>
      <c r="H10" s="216"/>
    </row>
    <row r="11" spans="1:16" ht="41.45" customHeight="1">
      <c r="A11" s="542">
        <f>A9+1</f>
        <v>4</v>
      </c>
      <c r="B11" s="552" t="s">
        <v>958</v>
      </c>
      <c r="C11" s="543"/>
      <c r="D11" s="549" t="s">
        <v>121</v>
      </c>
      <c r="E11" s="549">
        <v>20</v>
      </c>
      <c r="F11" s="853"/>
      <c r="G11" s="985">
        <f t="shared" si="0"/>
        <v>0</v>
      </c>
      <c r="H11" s="216"/>
    </row>
    <row r="12" spans="1:16" ht="9" customHeight="1">
      <c r="A12" s="542"/>
      <c r="B12" s="552"/>
      <c r="C12" s="543"/>
      <c r="D12" s="549"/>
      <c r="E12" s="563"/>
      <c r="F12" s="853"/>
      <c r="G12" s="985"/>
      <c r="H12" s="216"/>
    </row>
    <row r="13" spans="1:16" ht="42.6" customHeight="1">
      <c r="A13" s="542">
        <f>A11+1</f>
        <v>5</v>
      </c>
      <c r="B13" s="552" t="s">
        <v>957</v>
      </c>
      <c r="C13" s="543"/>
      <c r="D13" s="549" t="s">
        <v>121</v>
      </c>
      <c r="E13" s="549">
        <v>16</v>
      </c>
      <c r="F13" s="853"/>
      <c r="G13" s="985">
        <f t="shared" si="0"/>
        <v>0</v>
      </c>
      <c r="H13" s="216"/>
    </row>
    <row r="14" spans="1:16" ht="9" customHeight="1">
      <c r="A14" s="542"/>
      <c r="B14" s="552"/>
      <c r="C14" s="543"/>
      <c r="D14" s="549"/>
      <c r="E14" s="563"/>
      <c r="F14" s="853"/>
      <c r="G14" s="985"/>
      <c r="H14" s="216"/>
    </row>
    <row r="15" spans="1:16" ht="68.45" customHeight="1">
      <c r="A15" s="542">
        <f>A13+1</f>
        <v>6</v>
      </c>
      <c r="B15" s="552" t="s">
        <v>956</v>
      </c>
      <c r="C15" s="543"/>
      <c r="D15" s="549" t="s">
        <v>121</v>
      </c>
      <c r="E15" s="549">
        <v>6</v>
      </c>
      <c r="F15" s="853"/>
      <c r="G15" s="985">
        <f t="shared" si="0"/>
        <v>0</v>
      </c>
      <c r="H15" s="223"/>
      <c r="I15" s="223"/>
    </row>
    <row r="16" spans="1:16" ht="9" customHeight="1">
      <c r="A16" s="542"/>
      <c r="B16" s="552"/>
      <c r="C16" s="543"/>
      <c r="D16" s="549"/>
      <c r="E16" s="549"/>
      <c r="F16" s="853"/>
      <c r="G16" s="985"/>
      <c r="H16" s="223"/>
      <c r="I16" s="223"/>
    </row>
    <row r="17" spans="1:9" s="193" customFormat="1" ht="54.75" customHeight="1">
      <c r="A17" s="542">
        <f>A15+1</f>
        <v>7</v>
      </c>
      <c r="B17" s="552" t="s">
        <v>1361</v>
      </c>
      <c r="C17" s="571"/>
      <c r="D17" s="549" t="s">
        <v>824</v>
      </c>
      <c r="E17" s="549">
        <v>356</v>
      </c>
      <c r="F17" s="853"/>
      <c r="G17" s="985">
        <f t="shared" si="0"/>
        <v>0</v>
      </c>
      <c r="H17" s="244"/>
      <c r="I17" s="244"/>
    </row>
    <row r="18" spans="1:9">
      <c r="A18" s="542"/>
      <c r="B18" s="572"/>
      <c r="C18" s="543"/>
      <c r="D18" s="549"/>
      <c r="E18" s="549"/>
      <c r="F18" s="853"/>
      <c r="G18" s="985"/>
      <c r="H18" s="223"/>
      <c r="I18" s="223"/>
    </row>
    <row r="19" spans="1:9" ht="15" thickBot="1">
      <c r="A19" s="562" t="s">
        <v>955</v>
      </c>
      <c r="B19" s="553"/>
      <c r="C19" s="554"/>
      <c r="D19" s="555"/>
      <c r="E19" s="556"/>
      <c r="F19" s="857"/>
      <c r="G19" s="1010">
        <f>ROUND(SUM(G5:G17),1)</f>
        <v>0</v>
      </c>
      <c r="H19" s="221"/>
      <c r="I19" s="220"/>
    </row>
    <row r="20" spans="1:9">
      <c r="A20" s="216"/>
      <c r="B20" s="218"/>
      <c r="C20" s="217"/>
      <c r="D20" s="216"/>
      <c r="E20" s="216"/>
      <c r="F20" s="858"/>
      <c r="G20" s="990"/>
      <c r="H20" s="216"/>
      <c r="I20" s="216"/>
    </row>
    <row r="21" spans="1:9">
      <c r="A21" s="216"/>
      <c r="B21" s="218"/>
      <c r="C21" s="217"/>
      <c r="D21" s="216"/>
      <c r="E21" s="216"/>
      <c r="F21" s="858"/>
      <c r="G21" s="990"/>
      <c r="H21" s="216"/>
      <c r="I21" s="216"/>
    </row>
    <row r="22" spans="1:9">
      <c r="A22" s="216"/>
      <c r="B22" s="218"/>
      <c r="C22" s="217"/>
      <c r="D22" s="216"/>
      <c r="E22" s="216"/>
      <c r="F22" s="858"/>
      <c r="G22" s="990"/>
      <c r="H22" s="216"/>
      <c r="I22" s="216"/>
    </row>
    <row r="23" spans="1:9">
      <c r="A23" s="216"/>
      <c r="B23" s="218"/>
      <c r="C23" s="217"/>
      <c r="D23" s="216"/>
      <c r="E23" s="216"/>
      <c r="F23" s="858"/>
      <c r="G23" s="990"/>
      <c r="H23" s="216"/>
      <c r="I23" s="216"/>
    </row>
    <row r="24" spans="1:9">
      <c r="A24" s="216"/>
      <c r="B24" s="218"/>
      <c r="C24" s="217"/>
      <c r="D24" s="216"/>
      <c r="E24" s="216"/>
      <c r="F24" s="858"/>
      <c r="G24" s="990"/>
      <c r="H24" s="216"/>
      <c r="I24" s="216"/>
    </row>
    <row r="25" spans="1:9">
      <c r="A25" s="216"/>
      <c r="B25" s="218"/>
      <c r="C25" s="217"/>
      <c r="D25" s="216"/>
      <c r="E25" s="216"/>
      <c r="F25" s="858"/>
      <c r="G25" s="990"/>
      <c r="H25" s="216"/>
      <c r="I25" s="216"/>
    </row>
    <row r="26" spans="1:9">
      <c r="A26" s="216"/>
      <c r="B26" s="218"/>
      <c r="C26" s="217"/>
      <c r="D26" s="216"/>
      <c r="E26" s="216"/>
      <c r="F26" s="858"/>
      <c r="G26" s="990"/>
      <c r="H26" s="216"/>
      <c r="I26" s="216"/>
    </row>
    <row r="27" spans="1:9">
      <c r="A27" s="216"/>
      <c r="B27" s="218"/>
      <c r="C27" s="217"/>
      <c r="D27" s="216"/>
      <c r="E27" s="216"/>
      <c r="F27" s="858"/>
      <c r="G27" s="990"/>
      <c r="H27" s="216"/>
      <c r="I27" s="216"/>
    </row>
    <row r="28" spans="1:9">
      <c r="A28" s="216"/>
      <c r="B28" s="218"/>
      <c r="C28" s="217"/>
      <c r="D28" s="216"/>
      <c r="E28" s="216"/>
      <c r="F28" s="858"/>
      <c r="G28" s="990"/>
      <c r="H28" s="216"/>
      <c r="I28" s="216"/>
    </row>
    <row r="29" spans="1:9">
      <c r="A29" s="216"/>
      <c r="B29" s="218"/>
      <c r="C29" s="217"/>
      <c r="D29" s="216"/>
      <c r="E29" s="216"/>
      <c r="F29" s="858"/>
      <c r="G29" s="990"/>
      <c r="H29" s="216"/>
      <c r="I29" s="216"/>
    </row>
    <row r="30" spans="1:9">
      <c r="A30" s="216"/>
      <c r="B30" s="218"/>
      <c r="C30" s="217"/>
      <c r="D30" s="216"/>
      <c r="E30" s="216"/>
      <c r="F30" s="858"/>
      <c r="G30" s="990"/>
      <c r="H30" s="216"/>
      <c r="I30" s="216"/>
    </row>
    <row r="31" spans="1:9">
      <c r="A31" s="216"/>
      <c r="B31" s="218"/>
      <c r="C31" s="217"/>
      <c r="D31" s="216"/>
      <c r="E31" s="216"/>
      <c r="F31" s="858"/>
      <c r="G31" s="990"/>
      <c r="H31" s="216"/>
      <c r="I31" s="216"/>
    </row>
    <row r="32" spans="1:9">
      <c r="A32" s="216"/>
      <c r="B32" s="218"/>
      <c r="C32" s="217"/>
      <c r="D32" s="216"/>
      <c r="E32" s="216"/>
      <c r="F32" s="858"/>
      <c r="G32" s="990"/>
      <c r="H32" s="216"/>
      <c r="I32" s="216"/>
    </row>
    <row r="33" spans="1:9">
      <c r="A33" s="216"/>
      <c r="B33" s="218"/>
      <c r="C33" s="217"/>
      <c r="D33" s="216"/>
      <c r="E33" s="216"/>
      <c r="F33" s="858"/>
      <c r="G33" s="990"/>
      <c r="H33" s="216"/>
      <c r="I33" s="216"/>
    </row>
    <row r="34" spans="1:9">
      <c r="A34" s="216"/>
      <c r="B34" s="218"/>
      <c r="C34" s="217"/>
      <c r="D34" s="216"/>
      <c r="E34" s="216"/>
      <c r="F34" s="858"/>
      <c r="G34" s="990"/>
      <c r="H34" s="216"/>
      <c r="I34" s="216"/>
    </row>
    <row r="35" spans="1:9">
      <c r="A35" s="216"/>
      <c r="B35" s="218"/>
      <c r="C35" s="217"/>
      <c r="D35" s="216"/>
      <c r="E35" s="216"/>
      <c r="F35" s="858"/>
      <c r="G35" s="990"/>
      <c r="H35" s="216"/>
      <c r="I35" s="216"/>
    </row>
    <row r="36" spans="1:9">
      <c r="A36" s="216"/>
      <c r="B36" s="218"/>
      <c r="C36" s="217"/>
      <c r="D36" s="216"/>
      <c r="E36" s="216"/>
      <c r="F36" s="858"/>
      <c r="G36" s="990"/>
      <c r="H36" s="216"/>
      <c r="I36" s="216"/>
    </row>
    <row r="37" spans="1:9">
      <c r="A37" s="216"/>
      <c r="B37" s="218"/>
      <c r="C37" s="217"/>
      <c r="D37" s="216"/>
      <c r="E37" s="216"/>
      <c r="F37" s="858"/>
      <c r="G37" s="990"/>
      <c r="H37" s="216"/>
      <c r="I37" s="216"/>
    </row>
    <row r="38" spans="1:9">
      <c r="A38" s="216"/>
      <c r="B38" s="218"/>
      <c r="C38" s="217"/>
      <c r="D38" s="216"/>
      <c r="E38" s="216"/>
      <c r="F38" s="858"/>
      <c r="G38" s="990"/>
      <c r="H38" s="216"/>
      <c r="I38" s="216"/>
    </row>
    <row r="39" spans="1:9">
      <c r="A39" s="216"/>
      <c r="B39" s="218"/>
      <c r="C39" s="217"/>
      <c r="D39" s="216"/>
      <c r="E39" s="216"/>
      <c r="F39" s="858"/>
      <c r="G39" s="990"/>
      <c r="H39" s="216"/>
      <c r="I39" s="216"/>
    </row>
    <row r="40" spans="1:9">
      <c r="A40" s="216"/>
      <c r="B40" s="218"/>
      <c r="C40" s="217"/>
      <c r="D40" s="216"/>
      <c r="E40" s="216"/>
      <c r="F40" s="858"/>
      <c r="G40" s="990"/>
      <c r="H40" s="216"/>
      <c r="I40" s="216"/>
    </row>
    <row r="41" spans="1:9">
      <c r="A41" s="216"/>
      <c r="B41" s="218"/>
      <c r="C41" s="217"/>
      <c r="D41" s="216"/>
      <c r="E41" s="216"/>
      <c r="F41" s="858"/>
      <c r="G41" s="990"/>
      <c r="H41" s="216"/>
      <c r="I41" s="216"/>
    </row>
    <row r="42" spans="1:9">
      <c r="A42" s="216"/>
      <c r="B42" s="218"/>
      <c r="C42" s="217"/>
      <c r="D42" s="216"/>
      <c r="E42" s="216"/>
      <c r="F42" s="858"/>
      <c r="G42" s="990"/>
      <c r="H42" s="216"/>
      <c r="I42" s="216"/>
    </row>
    <row r="43" spans="1:9">
      <c r="A43" s="216"/>
      <c r="B43" s="218"/>
      <c r="C43" s="217"/>
      <c r="D43" s="216"/>
      <c r="E43" s="216"/>
      <c r="F43" s="858"/>
      <c r="G43" s="990"/>
      <c r="H43" s="216"/>
      <c r="I43" s="216"/>
    </row>
    <row r="44" spans="1:9">
      <c r="A44" s="216"/>
      <c r="B44" s="218"/>
      <c r="C44" s="217"/>
      <c r="D44" s="216"/>
      <c r="E44" s="216"/>
      <c r="F44" s="858"/>
      <c r="G44" s="990"/>
      <c r="H44" s="216"/>
      <c r="I44" s="216"/>
    </row>
    <row r="45" spans="1:9">
      <c r="A45" s="216"/>
      <c r="B45" s="218"/>
      <c r="C45" s="217"/>
      <c r="D45" s="216"/>
      <c r="E45" s="216"/>
      <c r="F45" s="858"/>
      <c r="G45" s="990"/>
      <c r="H45" s="216"/>
      <c r="I45" s="216"/>
    </row>
    <row r="46" spans="1:9">
      <c r="A46" s="216"/>
      <c r="B46" s="218"/>
      <c r="C46" s="217"/>
      <c r="D46" s="216"/>
      <c r="E46" s="216"/>
      <c r="F46" s="858"/>
      <c r="G46" s="990"/>
      <c r="H46" s="216"/>
      <c r="I46" s="216"/>
    </row>
    <row r="47" spans="1:9">
      <c r="A47" s="216"/>
      <c r="B47" s="218"/>
      <c r="C47" s="217"/>
      <c r="D47" s="216"/>
      <c r="E47" s="216"/>
      <c r="F47" s="858"/>
      <c r="G47" s="990"/>
      <c r="H47" s="216"/>
      <c r="I47" s="216"/>
    </row>
    <row r="48" spans="1:9">
      <c r="A48" s="216"/>
      <c r="B48" s="218"/>
      <c r="C48" s="217"/>
      <c r="D48" s="216"/>
      <c r="E48" s="216"/>
      <c r="F48" s="858"/>
      <c r="G48" s="990"/>
      <c r="H48" s="216"/>
      <c r="I48" s="216"/>
    </row>
    <row r="49" spans="1:9">
      <c r="A49" s="216"/>
      <c r="B49" s="218"/>
      <c r="C49" s="217"/>
      <c r="D49" s="216"/>
      <c r="E49" s="216"/>
      <c r="F49" s="858"/>
      <c r="G49" s="990"/>
      <c r="H49" s="216"/>
      <c r="I49" s="216"/>
    </row>
    <row r="50" spans="1:9">
      <c r="A50" s="216"/>
      <c r="B50" s="218"/>
      <c r="C50" s="217"/>
      <c r="D50" s="216"/>
      <c r="E50" s="216"/>
      <c r="F50" s="858"/>
      <c r="G50" s="990"/>
      <c r="H50" s="216"/>
      <c r="I50" s="216"/>
    </row>
    <row r="51" spans="1:9">
      <c r="A51" s="216"/>
      <c r="B51" s="218"/>
      <c r="C51" s="217"/>
      <c r="D51" s="216"/>
      <c r="E51" s="216"/>
      <c r="F51" s="858"/>
      <c r="G51" s="990"/>
      <c r="H51" s="216"/>
      <c r="I51" s="216"/>
    </row>
    <row r="52" spans="1:9">
      <c r="A52" s="216"/>
      <c r="B52" s="218"/>
      <c r="C52" s="217"/>
      <c r="D52" s="216"/>
      <c r="E52" s="216"/>
      <c r="F52" s="858"/>
      <c r="G52" s="990"/>
      <c r="H52" s="216"/>
      <c r="I52" s="216"/>
    </row>
    <row r="53" spans="1:9">
      <c r="A53" s="216"/>
      <c r="B53" s="218"/>
      <c r="C53" s="217"/>
      <c r="D53" s="216"/>
      <c r="E53" s="216"/>
      <c r="F53" s="858"/>
      <c r="G53" s="990"/>
      <c r="H53" s="216"/>
      <c r="I53" s="216"/>
    </row>
    <row r="54" spans="1:9">
      <c r="A54" s="216"/>
      <c r="B54" s="218"/>
      <c r="C54" s="217"/>
      <c r="D54" s="216"/>
      <c r="E54" s="216"/>
      <c r="F54" s="858"/>
      <c r="G54" s="990"/>
      <c r="H54" s="216"/>
      <c r="I54" s="216"/>
    </row>
    <row r="55" spans="1:9">
      <c r="A55" s="216"/>
      <c r="B55" s="218"/>
      <c r="C55" s="217"/>
      <c r="D55" s="216"/>
      <c r="E55" s="216"/>
      <c r="F55" s="858"/>
      <c r="G55" s="990"/>
      <c r="H55" s="216"/>
      <c r="I55" s="216"/>
    </row>
    <row r="56" spans="1:9">
      <c r="A56" s="216"/>
      <c r="B56" s="218"/>
      <c r="C56" s="217"/>
      <c r="D56" s="216"/>
      <c r="E56" s="216"/>
      <c r="F56" s="858"/>
      <c r="G56" s="990"/>
      <c r="H56" s="216"/>
      <c r="I56" s="216"/>
    </row>
    <row r="57" spans="1:9">
      <c r="A57" s="216"/>
      <c r="B57" s="218"/>
      <c r="C57" s="217"/>
      <c r="D57" s="216"/>
      <c r="E57" s="216"/>
      <c r="F57" s="858"/>
      <c r="G57" s="990"/>
      <c r="H57" s="216"/>
      <c r="I57" s="216"/>
    </row>
    <row r="58" spans="1:9">
      <c r="A58" s="216"/>
      <c r="B58" s="218"/>
      <c r="C58" s="217"/>
      <c r="D58" s="216"/>
      <c r="E58" s="216"/>
      <c r="F58" s="858"/>
      <c r="G58" s="990"/>
      <c r="H58" s="216"/>
      <c r="I58" s="216"/>
    </row>
    <row r="59" spans="1:9">
      <c r="A59" s="216"/>
      <c r="B59" s="218"/>
      <c r="C59" s="217"/>
      <c r="D59" s="216"/>
      <c r="E59" s="216"/>
      <c r="F59" s="858"/>
      <c r="G59" s="990"/>
      <c r="H59" s="216"/>
      <c r="I59" s="216"/>
    </row>
    <row r="60" spans="1:9">
      <c r="A60" s="216"/>
      <c r="B60" s="218"/>
      <c r="C60" s="217"/>
      <c r="D60" s="216"/>
      <c r="E60" s="216"/>
      <c r="F60" s="858"/>
      <c r="G60" s="990"/>
      <c r="H60" s="216"/>
      <c r="I60" s="216"/>
    </row>
    <row r="61" spans="1:9">
      <c r="A61" s="216"/>
      <c r="B61" s="218"/>
      <c r="C61" s="217"/>
      <c r="D61" s="216"/>
      <c r="E61" s="216"/>
      <c r="F61" s="858"/>
      <c r="G61" s="990"/>
      <c r="H61" s="216"/>
      <c r="I61" s="216"/>
    </row>
    <row r="62" spans="1:9">
      <c r="A62" s="216"/>
      <c r="B62" s="218"/>
      <c r="C62" s="217"/>
      <c r="D62" s="216"/>
      <c r="E62" s="216"/>
      <c r="F62" s="858"/>
      <c r="G62" s="990"/>
      <c r="H62" s="216"/>
      <c r="I62" s="216"/>
    </row>
    <row r="63" spans="1:9">
      <c r="A63" s="216"/>
      <c r="B63" s="218"/>
      <c r="C63" s="217"/>
      <c r="D63" s="216"/>
      <c r="E63" s="216"/>
      <c r="F63" s="858"/>
      <c r="G63" s="990"/>
      <c r="H63" s="216"/>
      <c r="I63" s="216"/>
    </row>
    <row r="64" spans="1:9">
      <c r="A64" s="216"/>
      <c r="B64" s="218"/>
      <c r="C64" s="217"/>
      <c r="D64" s="216"/>
      <c r="E64" s="216"/>
      <c r="F64" s="858"/>
      <c r="G64" s="990"/>
      <c r="H64" s="216"/>
      <c r="I64" s="216"/>
    </row>
    <row r="65" spans="1:9">
      <c r="A65" s="216"/>
      <c r="B65" s="218"/>
      <c r="C65" s="217"/>
      <c r="D65" s="216"/>
      <c r="E65" s="216"/>
      <c r="F65" s="858"/>
      <c r="G65" s="990"/>
      <c r="H65" s="216"/>
      <c r="I65" s="216"/>
    </row>
    <row r="66" spans="1:9">
      <c r="A66" s="216"/>
      <c r="B66" s="218"/>
      <c r="C66" s="217"/>
      <c r="D66" s="216"/>
      <c r="E66" s="216"/>
      <c r="F66" s="858"/>
      <c r="G66" s="990"/>
      <c r="H66" s="216"/>
      <c r="I66" s="216"/>
    </row>
    <row r="67" spans="1:9">
      <c r="A67" s="216"/>
      <c r="B67" s="218"/>
      <c r="C67" s="217"/>
      <c r="D67" s="216"/>
      <c r="E67" s="216"/>
      <c r="F67" s="858"/>
      <c r="G67" s="990"/>
      <c r="H67" s="216"/>
      <c r="I67" s="216"/>
    </row>
    <row r="68" spans="1:9">
      <c r="A68" s="216"/>
      <c r="B68" s="218"/>
      <c r="C68" s="217"/>
      <c r="D68" s="216"/>
      <c r="E68" s="216"/>
      <c r="F68" s="858"/>
      <c r="G68" s="990"/>
      <c r="H68" s="216"/>
      <c r="I68" s="216"/>
    </row>
    <row r="69" spans="1:9">
      <c r="A69" s="216"/>
      <c r="B69" s="218"/>
      <c r="C69" s="217"/>
      <c r="D69" s="216"/>
      <c r="E69" s="216"/>
      <c r="F69" s="858"/>
      <c r="G69" s="990"/>
      <c r="H69" s="216"/>
      <c r="I69" s="216"/>
    </row>
    <row r="70" spans="1:9">
      <c r="A70" s="216"/>
      <c r="B70" s="218"/>
      <c r="C70" s="217"/>
      <c r="D70" s="216"/>
      <c r="E70" s="216"/>
      <c r="F70" s="858"/>
      <c r="G70" s="990"/>
      <c r="H70" s="216"/>
      <c r="I70" s="216"/>
    </row>
    <row r="71" spans="1:9">
      <c r="A71" s="216"/>
      <c r="B71" s="218"/>
      <c r="C71" s="217"/>
      <c r="D71" s="216"/>
      <c r="E71" s="216"/>
      <c r="F71" s="858"/>
      <c r="G71" s="990"/>
      <c r="H71" s="216"/>
      <c r="I71" s="216"/>
    </row>
    <row r="72" spans="1:9">
      <c r="A72" s="216"/>
      <c r="B72" s="218"/>
      <c r="C72" s="217"/>
      <c r="D72" s="216"/>
      <c r="E72" s="216"/>
      <c r="F72" s="858"/>
      <c r="G72" s="990"/>
      <c r="H72" s="216"/>
      <c r="I72" s="216"/>
    </row>
    <row r="73" spans="1:9">
      <c r="A73" s="216"/>
      <c r="B73" s="218"/>
      <c r="C73" s="217"/>
      <c r="D73" s="216"/>
      <c r="E73" s="216"/>
      <c r="F73" s="858"/>
      <c r="G73" s="990"/>
      <c r="H73" s="216"/>
      <c r="I73" s="216"/>
    </row>
    <row r="74" spans="1:9">
      <c r="A74" s="216"/>
      <c r="B74" s="218"/>
      <c r="C74" s="217"/>
      <c r="D74" s="216"/>
      <c r="E74" s="216"/>
      <c r="F74" s="858"/>
      <c r="G74" s="990"/>
      <c r="H74" s="216"/>
      <c r="I74" s="216"/>
    </row>
    <row r="75" spans="1:9">
      <c r="A75" s="216"/>
      <c r="B75" s="218"/>
      <c r="C75" s="217"/>
      <c r="D75" s="216"/>
      <c r="E75" s="216"/>
      <c r="F75" s="858"/>
      <c r="G75" s="990"/>
      <c r="H75" s="216"/>
      <c r="I75" s="216"/>
    </row>
    <row r="76" spans="1:9">
      <c r="A76" s="216"/>
      <c r="B76" s="218"/>
      <c r="C76" s="217"/>
      <c r="D76" s="216"/>
      <c r="E76" s="216"/>
      <c r="F76" s="858"/>
      <c r="G76" s="990"/>
      <c r="H76" s="216"/>
      <c r="I76" s="216"/>
    </row>
    <row r="77" spans="1:9">
      <c r="A77" s="216"/>
      <c r="B77" s="218"/>
      <c r="C77" s="217"/>
      <c r="D77" s="216"/>
      <c r="E77" s="216"/>
      <c r="F77" s="858"/>
      <c r="G77" s="990"/>
      <c r="H77" s="216"/>
      <c r="I77" s="216"/>
    </row>
    <row r="78" spans="1:9">
      <c r="A78" s="216"/>
      <c r="B78" s="218"/>
      <c r="C78" s="217"/>
      <c r="D78" s="216"/>
      <c r="E78" s="216"/>
      <c r="F78" s="858"/>
      <c r="G78" s="990"/>
      <c r="H78" s="216"/>
      <c r="I78" s="216"/>
    </row>
    <row r="79" spans="1:9">
      <c r="A79" s="216"/>
      <c r="B79" s="218"/>
      <c r="C79" s="217"/>
      <c r="D79" s="216"/>
      <c r="E79" s="216"/>
      <c r="F79" s="858"/>
      <c r="G79" s="990"/>
      <c r="H79" s="216"/>
      <c r="I79" s="216"/>
    </row>
    <row r="80" spans="1:9">
      <c r="A80" s="216"/>
      <c r="B80" s="218"/>
      <c r="C80" s="217"/>
      <c r="D80" s="216"/>
      <c r="E80" s="216"/>
      <c r="F80" s="858"/>
      <c r="G80" s="990"/>
      <c r="H80" s="216"/>
      <c r="I80" s="216"/>
    </row>
    <row r="81" spans="1:9">
      <c r="A81" s="216"/>
      <c r="B81" s="218"/>
      <c r="C81" s="217"/>
      <c r="D81" s="216"/>
      <c r="E81" s="216"/>
      <c r="F81" s="858"/>
      <c r="G81" s="990"/>
      <c r="H81" s="216"/>
      <c r="I81" s="216"/>
    </row>
    <row r="82" spans="1:9">
      <c r="A82" s="216"/>
      <c r="B82" s="218"/>
      <c r="C82" s="217"/>
      <c r="D82" s="216"/>
      <c r="E82" s="216"/>
      <c r="F82" s="858"/>
      <c r="G82" s="990"/>
      <c r="H82" s="216"/>
      <c r="I82" s="216"/>
    </row>
    <row r="83" spans="1:9">
      <c r="A83" s="216"/>
      <c r="B83" s="218"/>
      <c r="C83" s="217"/>
      <c r="D83" s="216"/>
      <c r="E83" s="216"/>
      <c r="F83" s="858"/>
      <c r="G83" s="990"/>
      <c r="H83" s="216"/>
      <c r="I83" s="216"/>
    </row>
    <row r="84" spans="1:9">
      <c r="A84" s="216"/>
      <c r="B84" s="218"/>
      <c r="C84" s="217"/>
      <c r="D84" s="216"/>
      <c r="E84" s="216"/>
      <c r="F84" s="858"/>
      <c r="G84" s="990"/>
      <c r="H84" s="216"/>
      <c r="I84" s="216"/>
    </row>
    <row r="85" spans="1:9">
      <c r="A85" s="216"/>
      <c r="B85" s="218"/>
      <c r="C85" s="217"/>
      <c r="D85" s="216"/>
      <c r="E85" s="216"/>
      <c r="F85" s="858"/>
      <c r="G85" s="990"/>
      <c r="H85" s="216"/>
      <c r="I85" s="216"/>
    </row>
    <row r="86" spans="1:9">
      <c r="A86" s="216"/>
      <c r="B86" s="218"/>
      <c r="C86" s="217"/>
      <c r="D86" s="216"/>
      <c r="E86" s="216"/>
      <c r="F86" s="858"/>
      <c r="G86" s="990"/>
      <c r="H86" s="216"/>
      <c r="I86" s="216"/>
    </row>
    <row r="87" spans="1:9">
      <c r="A87" s="216"/>
      <c r="B87" s="218"/>
      <c r="C87" s="217"/>
      <c r="D87" s="216"/>
      <c r="E87" s="216"/>
      <c r="F87" s="858"/>
      <c r="G87" s="990"/>
      <c r="H87" s="216"/>
      <c r="I87" s="216"/>
    </row>
    <row r="88" spans="1:9">
      <c r="A88" s="216"/>
      <c r="B88" s="218"/>
      <c r="C88" s="217"/>
      <c r="D88" s="216"/>
      <c r="E88" s="216"/>
      <c r="F88" s="858"/>
      <c r="G88" s="990"/>
      <c r="H88" s="216"/>
      <c r="I88" s="216"/>
    </row>
    <row r="89" spans="1:9">
      <c r="A89" s="216"/>
      <c r="B89" s="218"/>
      <c r="C89" s="217"/>
      <c r="D89" s="216"/>
      <c r="E89" s="216"/>
      <c r="F89" s="858"/>
      <c r="G89" s="990"/>
      <c r="H89" s="216"/>
      <c r="I89" s="216"/>
    </row>
    <row r="90" spans="1:9">
      <c r="A90" s="216"/>
      <c r="B90" s="218"/>
      <c r="C90" s="217"/>
      <c r="D90" s="216"/>
      <c r="E90" s="216"/>
      <c r="F90" s="858"/>
      <c r="G90" s="990"/>
      <c r="H90" s="216"/>
      <c r="I90" s="216"/>
    </row>
    <row r="91" spans="1:9">
      <c r="A91" s="216"/>
      <c r="B91" s="218"/>
      <c r="C91" s="217"/>
      <c r="D91" s="216"/>
      <c r="E91" s="216"/>
      <c r="F91" s="858"/>
      <c r="G91" s="990"/>
      <c r="H91" s="216"/>
      <c r="I91" s="216"/>
    </row>
    <row r="92" spans="1:9">
      <c r="A92" s="216"/>
      <c r="B92" s="218"/>
      <c r="C92" s="217"/>
      <c r="D92" s="216"/>
      <c r="E92" s="216"/>
      <c r="F92" s="858"/>
      <c r="G92" s="990"/>
      <c r="H92" s="216"/>
      <c r="I92" s="216"/>
    </row>
    <row r="93" spans="1:9">
      <c r="A93" s="216"/>
      <c r="B93" s="218"/>
      <c r="C93" s="217"/>
      <c r="D93" s="216"/>
      <c r="E93" s="216"/>
      <c r="F93" s="858"/>
      <c r="G93" s="990"/>
      <c r="H93" s="216"/>
      <c r="I93" s="216"/>
    </row>
    <row r="94" spans="1:9">
      <c r="A94" s="216"/>
      <c r="B94" s="218"/>
      <c r="C94" s="217"/>
      <c r="D94" s="216"/>
      <c r="E94" s="216"/>
      <c r="F94" s="858"/>
      <c r="G94" s="990"/>
      <c r="H94" s="216"/>
      <c r="I94" s="216"/>
    </row>
    <row r="95" spans="1:9">
      <c r="A95" s="216"/>
      <c r="B95" s="218"/>
      <c r="C95" s="217"/>
      <c r="D95" s="216"/>
      <c r="E95" s="216"/>
      <c r="F95" s="858"/>
      <c r="G95" s="990"/>
      <c r="H95" s="216"/>
      <c r="I95" s="216"/>
    </row>
    <row r="96" spans="1:9">
      <c r="A96" s="216"/>
      <c r="B96" s="218"/>
      <c r="C96" s="217"/>
      <c r="D96" s="216"/>
      <c r="E96" s="216"/>
      <c r="F96" s="858"/>
      <c r="G96" s="990"/>
      <c r="H96" s="216"/>
      <c r="I96" s="216"/>
    </row>
    <row r="97" spans="1:9">
      <c r="A97" s="216"/>
      <c r="B97" s="218"/>
      <c r="C97" s="217"/>
      <c r="D97" s="216"/>
      <c r="E97" s="216"/>
      <c r="F97" s="858"/>
      <c r="G97" s="990"/>
      <c r="H97" s="216"/>
      <c r="I97" s="216"/>
    </row>
    <row r="98" spans="1:9">
      <c r="A98" s="216"/>
      <c r="B98" s="218"/>
      <c r="C98" s="217"/>
      <c r="D98" s="216"/>
      <c r="E98" s="216"/>
      <c r="F98" s="858"/>
      <c r="G98" s="990"/>
      <c r="H98" s="216"/>
      <c r="I98" s="216"/>
    </row>
    <row r="99" spans="1:9">
      <c r="A99" s="216"/>
      <c r="B99" s="218"/>
      <c r="C99" s="217"/>
      <c r="D99" s="216"/>
      <c r="E99" s="216"/>
      <c r="F99" s="858"/>
      <c r="G99" s="990"/>
      <c r="H99" s="216"/>
      <c r="I99" s="216"/>
    </row>
    <row r="100" spans="1:9">
      <c r="A100" s="216"/>
      <c r="B100" s="218"/>
      <c r="C100" s="217"/>
      <c r="D100" s="216"/>
      <c r="E100" s="216"/>
      <c r="F100" s="858"/>
      <c r="G100" s="990"/>
      <c r="H100" s="216"/>
      <c r="I100" s="216"/>
    </row>
    <row r="101" spans="1:9">
      <c r="A101" s="216"/>
      <c r="B101" s="218"/>
      <c r="C101" s="217"/>
      <c r="D101" s="216"/>
      <c r="E101" s="216"/>
      <c r="F101" s="858"/>
      <c r="G101" s="990"/>
      <c r="H101" s="216"/>
      <c r="I101" s="216"/>
    </row>
    <row r="102" spans="1:9">
      <c r="A102" s="216"/>
      <c r="B102" s="218"/>
      <c r="C102" s="217"/>
      <c r="D102" s="216"/>
      <c r="E102" s="216"/>
      <c r="F102" s="858"/>
      <c r="G102" s="990"/>
      <c r="H102" s="216"/>
      <c r="I102" s="216"/>
    </row>
    <row r="103" spans="1:9">
      <c r="A103" s="216"/>
      <c r="B103" s="218"/>
      <c r="C103" s="217"/>
      <c r="D103" s="216"/>
      <c r="E103" s="216"/>
      <c r="F103" s="858"/>
      <c r="G103" s="990"/>
      <c r="H103" s="216"/>
      <c r="I103" s="216"/>
    </row>
    <row r="104" spans="1:9">
      <c r="A104" s="216"/>
      <c r="B104" s="218"/>
      <c r="C104" s="217"/>
      <c r="D104" s="216"/>
      <c r="E104" s="216"/>
      <c r="F104" s="858"/>
      <c r="G104" s="990"/>
      <c r="H104" s="216"/>
      <c r="I104" s="216"/>
    </row>
    <row r="105" spans="1:9">
      <c r="A105" s="216"/>
      <c r="B105" s="218"/>
      <c r="C105" s="217"/>
      <c r="D105" s="216"/>
      <c r="E105" s="216"/>
      <c r="F105" s="858"/>
      <c r="G105" s="990"/>
      <c r="H105" s="216"/>
      <c r="I105" s="216"/>
    </row>
    <row r="106" spans="1:9">
      <c r="A106" s="216"/>
      <c r="B106" s="218"/>
      <c r="C106" s="217"/>
      <c r="D106" s="216"/>
      <c r="E106" s="216"/>
      <c r="F106" s="858"/>
      <c r="G106" s="990"/>
      <c r="H106" s="216"/>
      <c r="I106" s="216"/>
    </row>
    <row r="107" spans="1:9">
      <c r="A107" s="216"/>
      <c r="B107" s="218"/>
      <c r="C107" s="217"/>
      <c r="D107" s="216"/>
      <c r="E107" s="216"/>
      <c r="F107" s="858"/>
      <c r="G107" s="990"/>
      <c r="H107" s="216"/>
      <c r="I107" s="216"/>
    </row>
    <row r="108" spans="1:9">
      <c r="A108" s="216"/>
      <c r="B108" s="218"/>
      <c r="C108" s="217"/>
      <c r="D108" s="216"/>
      <c r="E108" s="216"/>
      <c r="F108" s="858"/>
      <c r="G108" s="990"/>
      <c r="H108" s="216"/>
      <c r="I108" s="216"/>
    </row>
    <row r="109" spans="1:9">
      <c r="A109" s="216"/>
      <c r="B109" s="218"/>
      <c r="C109" s="217"/>
      <c r="D109" s="216"/>
      <c r="E109" s="216"/>
      <c r="F109" s="858"/>
      <c r="G109" s="990"/>
      <c r="H109" s="216"/>
      <c r="I109" s="216"/>
    </row>
    <row r="110" spans="1:9">
      <c r="A110" s="216"/>
      <c r="B110" s="218"/>
      <c r="C110" s="217"/>
      <c r="D110" s="216"/>
      <c r="E110" s="216"/>
      <c r="F110" s="858"/>
      <c r="G110" s="990"/>
      <c r="H110" s="216"/>
      <c r="I110" s="216"/>
    </row>
    <row r="111" spans="1:9">
      <c r="A111" s="216"/>
      <c r="B111" s="218"/>
      <c r="C111" s="217"/>
      <c r="D111" s="216"/>
      <c r="E111" s="216"/>
      <c r="F111" s="858"/>
      <c r="G111" s="990"/>
      <c r="H111" s="216"/>
      <c r="I111" s="216"/>
    </row>
    <row r="112" spans="1:9">
      <c r="A112" s="216"/>
      <c r="B112" s="218"/>
      <c r="C112" s="217"/>
      <c r="D112" s="216"/>
      <c r="E112" s="216"/>
      <c r="F112" s="858"/>
      <c r="G112" s="990"/>
      <c r="H112" s="216"/>
      <c r="I112" s="216"/>
    </row>
    <row r="113" spans="1:9">
      <c r="A113" s="216"/>
      <c r="B113" s="218"/>
      <c r="C113" s="217"/>
      <c r="D113" s="216"/>
      <c r="E113" s="216"/>
      <c r="F113" s="858"/>
      <c r="G113" s="990"/>
      <c r="H113" s="216"/>
      <c r="I113" s="216"/>
    </row>
    <row r="114" spans="1:9">
      <c r="A114" s="216"/>
      <c r="B114" s="218"/>
      <c r="C114" s="217"/>
      <c r="D114" s="216"/>
      <c r="E114" s="216"/>
      <c r="F114" s="858"/>
      <c r="G114" s="990"/>
      <c r="H114" s="216"/>
      <c r="I114" s="216"/>
    </row>
    <row r="115" spans="1:9">
      <c r="A115" s="216"/>
      <c r="B115" s="218"/>
      <c r="C115" s="217"/>
      <c r="D115" s="216"/>
      <c r="E115" s="216"/>
      <c r="F115" s="858"/>
      <c r="G115" s="990"/>
      <c r="H115" s="216"/>
      <c r="I115" s="216"/>
    </row>
    <row r="116" spans="1:9">
      <c r="A116" s="216"/>
      <c r="B116" s="218"/>
      <c r="C116" s="217"/>
      <c r="D116" s="216"/>
      <c r="E116" s="216"/>
      <c r="F116" s="858"/>
      <c r="G116" s="990"/>
      <c r="H116" s="216"/>
      <c r="I116" s="216"/>
    </row>
    <row r="117" spans="1:9">
      <c r="A117" s="216"/>
      <c r="B117" s="218"/>
      <c r="C117" s="217"/>
      <c r="D117" s="216"/>
      <c r="E117" s="216"/>
      <c r="F117" s="858"/>
      <c r="G117" s="990"/>
      <c r="H117" s="216"/>
      <c r="I117" s="216"/>
    </row>
    <row r="118" spans="1:9">
      <c r="A118" s="216"/>
      <c r="B118" s="218"/>
      <c r="C118" s="217"/>
      <c r="D118" s="216"/>
      <c r="E118" s="216"/>
      <c r="F118" s="858"/>
      <c r="G118" s="990"/>
      <c r="H118" s="216"/>
      <c r="I118" s="216"/>
    </row>
    <row r="119" spans="1:9">
      <c r="A119" s="216"/>
      <c r="B119" s="218"/>
      <c r="C119" s="217"/>
      <c r="D119" s="216"/>
      <c r="E119" s="216"/>
      <c r="F119" s="858"/>
      <c r="G119" s="990"/>
      <c r="H119" s="216"/>
      <c r="I119" s="216"/>
    </row>
    <row r="120" spans="1:9">
      <c r="A120" s="216"/>
      <c r="B120" s="218"/>
      <c r="C120" s="217"/>
      <c r="D120" s="216"/>
      <c r="E120" s="216"/>
      <c r="F120" s="858"/>
      <c r="G120" s="990"/>
      <c r="H120" s="216"/>
      <c r="I120" s="216"/>
    </row>
    <row r="121" spans="1:9">
      <c r="A121" s="216"/>
      <c r="B121" s="218"/>
      <c r="C121" s="217"/>
      <c r="D121" s="216"/>
      <c r="E121" s="216"/>
      <c r="F121" s="858"/>
      <c r="G121" s="990"/>
      <c r="H121" s="216"/>
      <c r="I121" s="216"/>
    </row>
    <row r="122" spans="1:9">
      <c r="A122" s="216"/>
      <c r="B122" s="218"/>
      <c r="C122" s="217"/>
      <c r="D122" s="216"/>
      <c r="E122" s="216"/>
      <c r="F122" s="858"/>
      <c r="G122" s="990"/>
      <c r="H122" s="216"/>
      <c r="I122" s="216"/>
    </row>
    <row r="123" spans="1:9">
      <c r="A123" s="216"/>
      <c r="B123" s="218"/>
      <c r="C123" s="217"/>
      <c r="D123" s="216"/>
      <c r="E123" s="216"/>
      <c r="F123" s="858"/>
      <c r="G123" s="990"/>
      <c r="H123" s="216"/>
      <c r="I123" s="216"/>
    </row>
    <row r="124" spans="1:9">
      <c r="A124" s="216"/>
      <c r="B124" s="218"/>
      <c r="C124" s="217"/>
      <c r="D124" s="216"/>
      <c r="E124" s="216"/>
      <c r="F124" s="858"/>
      <c r="G124" s="990"/>
      <c r="H124" s="216"/>
      <c r="I124" s="216"/>
    </row>
    <row r="125" spans="1:9">
      <c r="A125" s="216"/>
      <c r="B125" s="218"/>
      <c r="C125" s="217"/>
      <c r="D125" s="216"/>
      <c r="E125" s="216"/>
      <c r="F125" s="858"/>
      <c r="G125" s="990"/>
      <c r="H125" s="216"/>
      <c r="I125" s="216"/>
    </row>
    <row r="126" spans="1:9">
      <c r="A126" s="216"/>
      <c r="B126" s="218"/>
      <c r="C126" s="217"/>
      <c r="D126" s="216"/>
      <c r="E126" s="216"/>
      <c r="F126" s="858"/>
      <c r="G126" s="990"/>
      <c r="H126" s="216"/>
      <c r="I126" s="216"/>
    </row>
    <row r="127" spans="1:9">
      <c r="A127" s="216"/>
      <c r="B127" s="218"/>
      <c r="C127" s="217"/>
      <c r="D127" s="216"/>
      <c r="E127" s="216"/>
      <c r="F127" s="858"/>
      <c r="G127" s="990"/>
      <c r="H127" s="216"/>
      <c r="I127" s="216"/>
    </row>
    <row r="128" spans="1:9">
      <c r="A128" s="216"/>
      <c r="B128" s="218"/>
      <c r="C128" s="217"/>
      <c r="D128" s="216"/>
      <c r="E128" s="216"/>
      <c r="F128" s="858"/>
      <c r="G128" s="990"/>
      <c r="H128" s="216"/>
      <c r="I128" s="216"/>
    </row>
    <row r="129" spans="1:9">
      <c r="A129" s="216"/>
      <c r="B129" s="218"/>
      <c r="C129" s="217"/>
      <c r="D129" s="216"/>
      <c r="E129" s="216"/>
      <c r="F129" s="858"/>
      <c r="G129" s="990"/>
      <c r="H129" s="216"/>
      <c r="I129" s="216"/>
    </row>
    <row r="130" spans="1:9">
      <c r="A130" s="216"/>
      <c r="B130" s="218"/>
      <c r="C130" s="217"/>
      <c r="D130" s="216"/>
      <c r="E130" s="216"/>
      <c r="F130" s="858"/>
      <c r="G130" s="990"/>
      <c r="H130" s="216"/>
      <c r="I130" s="216"/>
    </row>
    <row r="131" spans="1:9">
      <c r="A131" s="216"/>
      <c r="B131" s="218"/>
      <c r="C131" s="217"/>
      <c r="D131" s="216"/>
      <c r="E131" s="216"/>
      <c r="F131" s="858"/>
      <c r="G131" s="990"/>
      <c r="H131" s="216"/>
      <c r="I131" s="216"/>
    </row>
    <row r="132" spans="1:9">
      <c r="A132" s="216"/>
      <c r="B132" s="218"/>
      <c r="C132" s="217"/>
      <c r="D132" s="216"/>
      <c r="E132" s="216"/>
      <c r="F132" s="858"/>
      <c r="G132" s="990"/>
      <c r="H132" s="216"/>
      <c r="I132" s="216"/>
    </row>
    <row r="133" spans="1:9">
      <c r="A133" s="216"/>
      <c r="B133" s="218"/>
      <c r="C133" s="217"/>
      <c r="D133" s="216"/>
      <c r="E133" s="216"/>
      <c r="F133" s="858"/>
      <c r="G133" s="990"/>
      <c r="H133" s="216"/>
      <c r="I133" s="216"/>
    </row>
    <row r="134" spans="1:9">
      <c r="A134" s="216"/>
      <c r="B134" s="218"/>
      <c r="C134" s="217"/>
      <c r="D134" s="216"/>
      <c r="E134" s="216"/>
      <c r="F134" s="858"/>
      <c r="G134" s="990"/>
      <c r="H134" s="216"/>
      <c r="I134" s="216"/>
    </row>
    <row r="135" spans="1:9">
      <c r="A135" s="216"/>
      <c r="B135" s="218"/>
      <c r="C135" s="217"/>
      <c r="D135" s="216"/>
      <c r="E135" s="216"/>
      <c r="F135" s="858"/>
      <c r="G135" s="990"/>
      <c r="H135" s="216"/>
      <c r="I135" s="216"/>
    </row>
    <row r="136" spans="1:9">
      <c r="A136" s="216"/>
      <c r="B136" s="218"/>
      <c r="C136" s="217"/>
      <c r="D136" s="216"/>
      <c r="E136" s="216"/>
      <c r="F136" s="858"/>
      <c r="G136" s="990"/>
      <c r="H136" s="216"/>
      <c r="I136" s="216"/>
    </row>
    <row r="137" spans="1:9">
      <c r="A137" s="216"/>
      <c r="B137" s="218"/>
      <c r="C137" s="217"/>
      <c r="D137" s="216"/>
      <c r="E137" s="216"/>
      <c r="F137" s="858"/>
      <c r="G137" s="990"/>
      <c r="H137" s="216"/>
      <c r="I137" s="216"/>
    </row>
    <row r="138" spans="1:9">
      <c r="A138" s="216"/>
      <c r="B138" s="218"/>
      <c r="C138" s="217"/>
      <c r="D138" s="216"/>
      <c r="E138" s="216"/>
      <c r="F138" s="858"/>
      <c r="G138" s="990"/>
      <c r="H138" s="216"/>
      <c r="I138" s="216"/>
    </row>
    <row r="139" spans="1:9">
      <c r="A139" s="216"/>
      <c r="B139" s="218"/>
      <c r="C139" s="217"/>
      <c r="D139" s="216"/>
      <c r="E139" s="216"/>
      <c r="F139" s="858"/>
      <c r="G139" s="990"/>
      <c r="H139" s="216"/>
      <c r="I139" s="216"/>
    </row>
    <row r="140" spans="1:9">
      <c r="A140" s="216"/>
      <c r="B140" s="218"/>
      <c r="C140" s="217"/>
      <c r="D140" s="216"/>
      <c r="E140" s="216"/>
      <c r="F140" s="858"/>
      <c r="G140" s="990"/>
      <c r="H140" s="216"/>
      <c r="I140" s="216"/>
    </row>
    <row r="141" spans="1:9">
      <c r="A141" s="216"/>
      <c r="B141" s="218"/>
      <c r="C141" s="217"/>
      <c r="D141" s="216"/>
      <c r="E141" s="216"/>
      <c r="F141" s="858"/>
      <c r="G141" s="990"/>
      <c r="H141" s="216"/>
      <c r="I141" s="216"/>
    </row>
    <row r="142" spans="1:9">
      <c r="A142" s="216"/>
      <c r="B142" s="218"/>
      <c r="C142" s="217"/>
      <c r="D142" s="216"/>
      <c r="E142" s="216"/>
      <c r="F142" s="858"/>
      <c r="G142" s="990"/>
      <c r="H142" s="216"/>
      <c r="I142" s="216"/>
    </row>
    <row r="143" spans="1:9">
      <c r="A143" s="216"/>
      <c r="B143" s="218"/>
      <c r="C143" s="217"/>
      <c r="D143" s="216"/>
      <c r="E143" s="216"/>
      <c r="F143" s="858"/>
      <c r="G143" s="990"/>
      <c r="H143" s="216"/>
      <c r="I143" s="216"/>
    </row>
  </sheetData>
  <sheetProtection algorithmName="SHA-512" hashValue="d2ZaWCljuttZbNBF1b2E86+WDAdyXFkVLhJsnL/52SNOU5Xpr3j4PpUYaP5fyjNrSs1TY0ZVEVqrjyFST6IlTg==" saltValue="hmKr1mUbHjGpM/ODW8VtGQ==" spinCount="100000" sheet="1" objects="1" scenarios="1" formatCells="0" formatColumns="0" formatRows="0"/>
  <pageMargins left="1.1023622047244095" right="0.51181102362204722" top="0.59055118110236227" bottom="0.39370078740157483" header="0.19685039370078741" footer="0.11811023622047245"/>
  <pageSetup paperSize="9" orientation="portrait" r:id="rId1"/>
  <headerFooter>
    <oddHeader>&amp;L&amp;"-,Običajno"&amp;8TEHNIČNO POROČILO TER POPIS DEL IN MATERIALA&amp;"Arial CE,Običajno"&amp;10
______________________________________________________________________________________
&amp;R&amp;"-,Običajno"&amp;8 19/&amp;P</oddHeader>
    <oddFooter xml:space="preserve">&amp;L
</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workbookViewId="0">
      <selection activeCell="G10" sqref="G10"/>
    </sheetView>
  </sheetViews>
  <sheetFormatPr defaultRowHeight="15"/>
  <cols>
    <col min="1" max="1" width="3.625" style="300" customWidth="1"/>
    <col min="2" max="2" width="26.5" style="300" customWidth="1"/>
    <col min="3" max="3" width="6.25" style="300" customWidth="1"/>
    <col min="4" max="4" width="8" style="300" customWidth="1"/>
    <col min="5" max="5" width="9" style="300" customWidth="1"/>
    <col min="6" max="6" width="12.625" style="1023" customWidth="1"/>
    <col min="7" max="16384" width="9" style="300"/>
  </cols>
  <sheetData>
    <row r="1" spans="1:6" ht="15.75">
      <c r="A1" s="319" t="s">
        <v>102</v>
      </c>
      <c r="B1" s="319" t="s">
        <v>1112</v>
      </c>
      <c r="C1" s="318"/>
      <c r="D1" s="318"/>
      <c r="E1" s="318"/>
      <c r="F1" s="1017"/>
    </row>
    <row r="2" spans="1:6">
      <c r="A2" s="318"/>
      <c r="B2" s="318"/>
      <c r="C2" s="318"/>
      <c r="D2" s="318"/>
      <c r="E2" s="318"/>
      <c r="F2" s="1017"/>
    </row>
    <row r="3" spans="1:6">
      <c r="A3" s="307"/>
      <c r="B3" s="310"/>
      <c r="C3" s="820" t="s">
        <v>85</v>
      </c>
      <c r="D3" s="820" t="s">
        <v>86</v>
      </c>
      <c r="E3" s="821" t="s">
        <v>87</v>
      </c>
      <c r="F3" s="1018" t="s">
        <v>88</v>
      </c>
    </row>
    <row r="4" spans="1:6">
      <c r="A4" s="317" t="s">
        <v>9</v>
      </c>
      <c r="B4" s="316" t="s">
        <v>1108</v>
      </c>
      <c r="C4" s="305"/>
      <c r="D4" s="304"/>
      <c r="E4" s="303"/>
      <c r="F4" s="1019"/>
    </row>
    <row r="5" spans="1:6">
      <c r="A5" s="307"/>
      <c r="B5" s="310"/>
      <c r="C5" s="304"/>
      <c r="D5" s="304"/>
      <c r="E5" s="315"/>
      <c r="F5" s="1020"/>
    </row>
    <row r="6" spans="1:6" ht="51">
      <c r="A6" s="307" t="s">
        <v>89</v>
      </c>
      <c r="B6" s="309" t="s">
        <v>1107</v>
      </c>
      <c r="C6" s="305" t="s">
        <v>1098</v>
      </c>
      <c r="D6" s="304">
        <v>150</v>
      </c>
      <c r="E6" s="303"/>
      <c r="F6" s="1019">
        <f>ROUND(ROUND(D6,2)*ROUND(E6,2),2)</f>
        <v>0</v>
      </c>
    </row>
    <row r="7" spans="1:6">
      <c r="A7" s="312"/>
      <c r="B7" s="314"/>
      <c r="C7" s="305"/>
      <c r="D7" s="313"/>
      <c r="E7" s="303"/>
      <c r="F7" s="1019"/>
    </row>
    <row r="8" spans="1:6" ht="51">
      <c r="A8" s="307" t="s">
        <v>91</v>
      </c>
      <c r="B8" s="309" t="s">
        <v>1106</v>
      </c>
      <c r="C8" s="305" t="s">
        <v>113</v>
      </c>
      <c r="D8" s="304">
        <v>6</v>
      </c>
      <c r="E8" s="303"/>
      <c r="F8" s="1019">
        <f t="shared" ref="F8:F12" si="0">ROUND(ROUND(D8,2)*ROUND(E8,2),2)</f>
        <v>0</v>
      </c>
    </row>
    <row r="9" spans="1:6">
      <c r="A9" s="307"/>
      <c r="B9" s="310"/>
      <c r="C9" s="305"/>
      <c r="D9" s="304"/>
      <c r="E9" s="303"/>
      <c r="F9" s="1019"/>
    </row>
    <row r="10" spans="1:6" ht="25.5">
      <c r="A10" s="307" t="s">
        <v>94</v>
      </c>
      <c r="B10" s="309" t="s">
        <v>1105</v>
      </c>
      <c r="C10" s="305" t="s">
        <v>1098</v>
      </c>
      <c r="D10" s="304">
        <v>40</v>
      </c>
      <c r="E10" s="303"/>
      <c r="F10" s="1019">
        <f t="shared" si="0"/>
        <v>0</v>
      </c>
    </row>
    <row r="11" spans="1:6">
      <c r="A11" s="307"/>
      <c r="B11" s="310"/>
      <c r="C11" s="305"/>
      <c r="D11" s="304"/>
      <c r="E11" s="303"/>
      <c r="F11" s="1019"/>
    </row>
    <row r="12" spans="1:6">
      <c r="A12" s="307" t="s">
        <v>96</v>
      </c>
      <c r="B12" s="309" t="s">
        <v>1104</v>
      </c>
      <c r="C12" s="305" t="s">
        <v>1095</v>
      </c>
      <c r="D12" s="304">
        <v>0.05</v>
      </c>
      <c r="E12" s="303"/>
      <c r="F12" s="1019">
        <f t="shared" si="0"/>
        <v>0</v>
      </c>
    </row>
    <row r="13" spans="1:6">
      <c r="A13" s="307"/>
      <c r="B13" s="310"/>
      <c r="C13" s="305"/>
      <c r="D13" s="304"/>
      <c r="E13" s="303"/>
      <c r="F13" s="1019"/>
    </row>
    <row r="14" spans="1:6">
      <c r="A14" s="307"/>
      <c r="B14" s="306" t="s">
        <v>1103</v>
      </c>
      <c r="C14" s="305"/>
      <c r="D14" s="304"/>
      <c r="E14" s="303"/>
      <c r="F14" s="1018">
        <f>SUM(F6:F13)</f>
        <v>0</v>
      </c>
    </row>
    <row r="15" spans="1:6">
      <c r="A15" s="312" t="s">
        <v>11</v>
      </c>
      <c r="B15" s="306" t="s">
        <v>8</v>
      </c>
      <c r="C15" s="305"/>
      <c r="D15" s="304"/>
      <c r="E15" s="303"/>
      <c r="F15" s="1018"/>
    </row>
    <row r="16" spans="1:6">
      <c r="A16" s="312"/>
      <c r="B16" s="306"/>
      <c r="C16" s="305"/>
      <c r="D16" s="304"/>
      <c r="E16" s="303"/>
      <c r="F16" s="1018"/>
    </row>
    <row r="17" spans="1:6" ht="25.5">
      <c r="A17" s="307" t="s">
        <v>89</v>
      </c>
      <c r="B17" s="311" t="s">
        <v>1102</v>
      </c>
      <c r="C17" s="305" t="s">
        <v>1098</v>
      </c>
      <c r="D17" s="304">
        <v>40</v>
      </c>
      <c r="E17" s="303"/>
      <c r="F17" s="1019">
        <f>ROUND(ROUND(D17,2)*ROUND(E17,2),2)</f>
        <v>0</v>
      </c>
    </row>
    <row r="18" spans="1:6">
      <c r="A18" s="307"/>
      <c r="B18" s="310"/>
      <c r="C18" s="305"/>
      <c r="D18" s="304"/>
      <c r="E18" s="303"/>
      <c r="F18" s="1019"/>
    </row>
    <row r="19" spans="1:6" ht="63.75">
      <c r="A19" s="307" t="s">
        <v>91</v>
      </c>
      <c r="B19" s="311" t="s">
        <v>1101</v>
      </c>
      <c r="C19" s="305" t="s">
        <v>113</v>
      </c>
      <c r="D19" s="304">
        <v>5</v>
      </c>
      <c r="E19" s="303"/>
      <c r="F19" s="1019">
        <f t="shared" ref="F19:F27" si="1">ROUND(ROUND(D19,2)*ROUND(E19,2),2)</f>
        <v>0</v>
      </c>
    </row>
    <row r="20" spans="1:6">
      <c r="A20" s="307"/>
      <c r="B20" s="310"/>
      <c r="C20" s="305"/>
      <c r="D20" s="304"/>
      <c r="E20" s="303"/>
      <c r="F20" s="1019"/>
    </row>
    <row r="21" spans="1:6" ht="25.5">
      <c r="A21" s="307" t="s">
        <v>94</v>
      </c>
      <c r="B21" s="311" t="s">
        <v>1100</v>
      </c>
      <c r="C21" s="305" t="s">
        <v>1098</v>
      </c>
      <c r="D21" s="304">
        <v>40</v>
      </c>
      <c r="E21" s="303"/>
      <c r="F21" s="1019">
        <f t="shared" si="1"/>
        <v>0</v>
      </c>
    </row>
    <row r="22" spans="1:6">
      <c r="A22" s="307"/>
      <c r="B22" s="310"/>
      <c r="C22" s="305"/>
      <c r="D22" s="304"/>
      <c r="E22" s="303"/>
      <c r="F22" s="1019"/>
    </row>
    <row r="23" spans="1:6" ht="153">
      <c r="A23" s="307" t="s">
        <v>96</v>
      </c>
      <c r="B23" s="311" t="s">
        <v>1099</v>
      </c>
      <c r="C23" s="305" t="s">
        <v>1098</v>
      </c>
      <c r="D23" s="304">
        <v>40</v>
      </c>
      <c r="E23" s="303"/>
      <c r="F23" s="1019">
        <f t="shared" si="1"/>
        <v>0</v>
      </c>
    </row>
    <row r="24" spans="1:6">
      <c r="A24" s="307"/>
      <c r="B24" s="310"/>
      <c r="C24" s="305"/>
      <c r="D24" s="304"/>
      <c r="E24" s="303"/>
      <c r="F24" s="1019"/>
    </row>
    <row r="25" spans="1:6" ht="38.25">
      <c r="A25" s="307" t="s">
        <v>101</v>
      </c>
      <c r="B25" s="311" t="s">
        <v>1097</v>
      </c>
      <c r="C25" s="305" t="s">
        <v>113</v>
      </c>
      <c r="D25" s="304">
        <v>2</v>
      </c>
      <c r="E25" s="303"/>
      <c r="F25" s="1019">
        <f t="shared" si="1"/>
        <v>0</v>
      </c>
    </row>
    <row r="26" spans="1:6">
      <c r="A26" s="307"/>
      <c r="B26" s="311"/>
      <c r="C26" s="305"/>
      <c r="D26" s="304"/>
      <c r="E26" s="303"/>
      <c r="F26" s="1019"/>
    </row>
    <row r="27" spans="1:6" ht="229.5">
      <c r="A27" s="307" t="s">
        <v>102</v>
      </c>
      <c r="B27" s="311" t="s">
        <v>1096</v>
      </c>
      <c r="C27" s="305" t="s">
        <v>113</v>
      </c>
      <c r="D27" s="304">
        <v>2</v>
      </c>
      <c r="E27" s="303"/>
      <c r="F27" s="1019">
        <f t="shared" si="1"/>
        <v>0</v>
      </c>
    </row>
    <row r="28" spans="1:6">
      <c r="A28" s="307"/>
      <c r="B28" s="310"/>
      <c r="C28" s="305"/>
      <c r="D28" s="304"/>
      <c r="E28" s="303"/>
      <c r="F28" s="1019"/>
    </row>
    <row r="29" spans="1:6" ht="15.75">
      <c r="A29" s="307"/>
      <c r="B29" s="308"/>
      <c r="C29" s="305"/>
      <c r="D29" s="304"/>
      <c r="E29" s="303"/>
      <c r="F29" s="1019"/>
    </row>
    <row r="30" spans="1:6">
      <c r="A30" s="307"/>
      <c r="B30" s="306" t="s">
        <v>1094</v>
      </c>
      <c r="C30" s="305"/>
      <c r="D30" s="304"/>
      <c r="E30" s="303"/>
      <c r="F30" s="1018">
        <f>SUM(F17:F29)</f>
        <v>0</v>
      </c>
    </row>
    <row r="31" spans="1:6">
      <c r="B31" s="301"/>
      <c r="C31" s="301"/>
      <c r="D31" s="301"/>
      <c r="E31" s="302"/>
      <c r="F31" s="1021"/>
    </row>
    <row r="32" spans="1:6" ht="15.75">
      <c r="B32" s="822" t="s">
        <v>1455</v>
      </c>
      <c r="C32" s="822"/>
      <c r="D32" s="822"/>
      <c r="E32" s="823"/>
      <c r="F32" s="1022">
        <f>SUM(F14,F30)</f>
        <v>0</v>
      </c>
    </row>
    <row r="33" spans="2:6">
      <c r="B33" s="301"/>
      <c r="C33" s="301"/>
      <c r="D33" s="301"/>
      <c r="E33" s="302"/>
      <c r="F33" s="1021"/>
    </row>
  </sheetData>
  <sheetProtection algorithmName="SHA-512" hashValue="uC03G2qMZajJlkGKztDzRJu/yO/7TxwDT6kPVaX9AkHJY4RS/BFxCEhrc15i53/+OmL++o8ugYXuNegqQzligA==" saltValue="2oFFQ8t6ypQolWXm1DJwSw==" spinCount="100000" sheet="1" formatCells="0" formatColumns="0" formatRows="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97"/>
  <sheetViews>
    <sheetView view="pageBreakPreview" zoomScaleNormal="100" zoomScaleSheetLayoutView="100" workbookViewId="0">
      <selection activeCell="E6" sqref="E6"/>
    </sheetView>
  </sheetViews>
  <sheetFormatPr defaultRowHeight="14.25"/>
  <cols>
    <col min="1" max="1" width="4.375" style="34" customWidth="1"/>
    <col min="2" max="2" width="30.375" style="35" customWidth="1"/>
    <col min="3" max="3" width="8.5" style="36" customWidth="1"/>
    <col min="4" max="4" width="9.625" style="38" customWidth="1"/>
    <col min="5" max="5" width="14.25" style="93" customWidth="1"/>
    <col min="6" max="6" width="17.25" style="920" customWidth="1"/>
    <col min="7" max="7" width="11.375" style="38" customWidth="1"/>
    <col min="8" max="256" width="8.5" style="38" customWidth="1"/>
    <col min="257" max="1024" width="10.75" customWidth="1"/>
    <col min="1025" max="1025" width="9" customWidth="1"/>
  </cols>
  <sheetData>
    <row r="1" spans="1:7">
      <c r="C1" s="36" t="s">
        <v>85</v>
      </c>
      <c r="D1" s="36" t="s">
        <v>86</v>
      </c>
      <c r="E1" s="93" t="s">
        <v>87</v>
      </c>
      <c r="F1" s="920" t="s">
        <v>88</v>
      </c>
    </row>
    <row r="2" spans="1:7" ht="15.75">
      <c r="A2" s="39" t="s">
        <v>7</v>
      </c>
      <c r="B2" s="40" t="s">
        <v>8</v>
      </c>
    </row>
    <row r="3" spans="1:7" s="38" customFormat="1" ht="12.75">
      <c r="A3" s="34"/>
      <c r="B3" s="35"/>
      <c r="E3" s="94"/>
      <c r="F3" s="921"/>
    </row>
    <row r="4" spans="1:7" s="43" customFormat="1" ht="15.75">
      <c r="A4" s="39" t="s">
        <v>9</v>
      </c>
      <c r="B4" s="41" t="s">
        <v>10</v>
      </c>
      <c r="C4" s="36"/>
      <c r="D4" s="38"/>
      <c r="E4" s="93"/>
      <c r="F4" s="922"/>
      <c r="G4" s="42"/>
    </row>
    <row r="5" spans="1:7" s="43" customFormat="1" ht="12.75">
      <c r="A5" s="44"/>
      <c r="B5" s="45"/>
      <c r="C5" s="36"/>
      <c r="D5" s="38"/>
      <c r="E5" s="93"/>
      <c r="F5" s="922"/>
      <c r="G5" s="46"/>
    </row>
    <row r="6" spans="1:7" ht="165" customHeight="1">
      <c r="A6" s="34" t="s">
        <v>89</v>
      </c>
      <c r="B6" s="35" t="s">
        <v>128</v>
      </c>
      <c r="C6" s="36" t="s">
        <v>90</v>
      </c>
      <c r="D6" s="38">
        <v>1</v>
      </c>
      <c r="F6" s="920">
        <f>ROUND(ROUND(D6,2)*ROUND(E6,2),2)</f>
        <v>0</v>
      </c>
      <c r="G6" s="46"/>
    </row>
    <row r="7" spans="1:7">
      <c r="A7" s="44"/>
      <c r="B7" s="47"/>
      <c r="D7" s="48"/>
      <c r="G7" s="46"/>
    </row>
    <row r="8" spans="1:7" ht="51">
      <c r="A8" s="34" t="s">
        <v>91</v>
      </c>
      <c r="B8" s="35" t="s">
        <v>92</v>
      </c>
      <c r="C8" s="36" t="s">
        <v>93</v>
      </c>
      <c r="D8" s="38">
        <v>1</v>
      </c>
      <c r="F8" s="920">
        <f t="shared" ref="F8:F12" si="0">ROUND(ROUND(D8,2)*ROUND(E8,2),2)</f>
        <v>0</v>
      </c>
      <c r="G8" s="46"/>
    </row>
    <row r="9" spans="1:7">
      <c r="G9" s="46"/>
    </row>
    <row r="10" spans="1:7" ht="25.5">
      <c r="A10" s="34" t="s">
        <v>94</v>
      </c>
      <c r="B10" s="35" t="s">
        <v>95</v>
      </c>
      <c r="C10" s="36" t="s">
        <v>93</v>
      </c>
      <c r="D10" s="38">
        <v>1</v>
      </c>
      <c r="F10" s="920">
        <f t="shared" si="0"/>
        <v>0</v>
      </c>
      <c r="G10" s="46"/>
    </row>
    <row r="11" spans="1:7">
      <c r="G11" s="46"/>
    </row>
    <row r="12" spans="1:7" ht="38.25">
      <c r="A12" s="34" t="s">
        <v>96</v>
      </c>
      <c r="B12" s="35" t="s">
        <v>154</v>
      </c>
      <c r="C12" s="36" t="s">
        <v>93</v>
      </c>
      <c r="D12" s="38">
        <v>1</v>
      </c>
      <c r="F12" s="920">
        <f t="shared" si="0"/>
        <v>0</v>
      </c>
      <c r="G12" s="46"/>
    </row>
    <row r="13" spans="1:7">
      <c r="G13" s="46"/>
    </row>
    <row r="14" spans="1:7" ht="15" thickBot="1">
      <c r="B14" s="49" t="s">
        <v>97</v>
      </c>
      <c r="C14" s="50"/>
      <c r="D14" s="51"/>
      <c r="E14" s="95"/>
      <c r="F14" s="923">
        <f>SUM(F6:F13)</f>
        <v>0</v>
      </c>
      <c r="G14" s="46"/>
    </row>
    <row r="15" spans="1:7" ht="16.5" thickTop="1">
      <c r="A15" s="39" t="s">
        <v>11</v>
      </c>
      <c r="B15" s="41" t="s">
        <v>12</v>
      </c>
      <c r="F15" s="922"/>
      <c r="G15" s="46"/>
    </row>
    <row r="16" spans="1:7">
      <c r="A16" s="44"/>
      <c r="B16" s="45"/>
      <c r="F16" s="922"/>
      <c r="G16" s="46"/>
    </row>
    <row r="17" spans="1:7" ht="51">
      <c r="A17" s="34" t="s">
        <v>89</v>
      </c>
      <c r="B17" s="35" t="s">
        <v>155</v>
      </c>
      <c r="C17" s="36" t="s">
        <v>98</v>
      </c>
      <c r="D17" s="38">
        <v>54.3</v>
      </c>
      <c r="F17" s="920">
        <f>ROUND(ROUND(D17,2)*ROUND(E17,2),2)</f>
        <v>0</v>
      </c>
      <c r="G17" s="46"/>
    </row>
    <row r="18" spans="1:7">
      <c r="G18" s="46"/>
    </row>
    <row r="19" spans="1:7" ht="51">
      <c r="A19" s="34" t="s">
        <v>91</v>
      </c>
      <c r="B19" s="35" t="s">
        <v>156</v>
      </c>
      <c r="C19" s="36" t="s">
        <v>98</v>
      </c>
      <c r="D19" s="38">
        <v>25.2</v>
      </c>
      <c r="F19" s="920">
        <f t="shared" ref="F19:F25" si="1">ROUND(ROUND(D19,2)*ROUND(E19,2),2)</f>
        <v>0</v>
      </c>
      <c r="G19" s="46"/>
    </row>
    <row r="20" spans="1:7">
      <c r="G20" s="46"/>
    </row>
    <row r="21" spans="1:7" ht="38.25">
      <c r="A21" s="34" t="s">
        <v>94</v>
      </c>
      <c r="B21" s="35" t="s">
        <v>99</v>
      </c>
      <c r="C21" s="36" t="s">
        <v>100</v>
      </c>
      <c r="D21" s="38">
        <v>69.7</v>
      </c>
      <c r="F21" s="920">
        <f t="shared" si="1"/>
        <v>0</v>
      </c>
      <c r="G21" s="46"/>
    </row>
    <row r="22" spans="1:7">
      <c r="G22" s="46"/>
    </row>
    <row r="23" spans="1:7" ht="63.75">
      <c r="A23" s="34" t="s">
        <v>96</v>
      </c>
      <c r="B23" s="35" t="s">
        <v>157</v>
      </c>
      <c r="C23" s="36" t="s">
        <v>98</v>
      </c>
      <c r="D23" s="38">
        <v>20.9</v>
      </c>
      <c r="F23" s="920">
        <f t="shared" si="1"/>
        <v>0</v>
      </c>
      <c r="G23" s="46"/>
    </row>
    <row r="24" spans="1:7">
      <c r="G24" s="46"/>
    </row>
    <row r="25" spans="1:7" ht="38.25">
      <c r="A25" s="34" t="s">
        <v>101</v>
      </c>
      <c r="B25" s="35" t="s">
        <v>106</v>
      </c>
      <c r="C25" s="36" t="s">
        <v>98</v>
      </c>
      <c r="D25" s="38">
        <v>95.4</v>
      </c>
      <c r="F25" s="920">
        <f t="shared" si="1"/>
        <v>0</v>
      </c>
      <c r="G25" s="46"/>
    </row>
    <row r="26" spans="1:7">
      <c r="A26" s="44"/>
      <c r="G26" s="46"/>
    </row>
    <row r="27" spans="1:7" ht="15" thickBot="1">
      <c r="B27" s="49" t="s">
        <v>107</v>
      </c>
      <c r="C27" s="50"/>
      <c r="D27" s="51"/>
      <c r="E27" s="95"/>
      <c r="F27" s="923">
        <f>SUM(F17:F26)</f>
        <v>0</v>
      </c>
      <c r="G27" s="46"/>
    </row>
    <row r="28" spans="1:7" ht="16.5" thickTop="1">
      <c r="A28" s="39" t="s">
        <v>13</v>
      </c>
      <c r="B28" s="40" t="s">
        <v>14</v>
      </c>
      <c r="F28" s="922"/>
      <c r="G28" s="42"/>
    </row>
    <row r="29" spans="1:7">
      <c r="G29" s="46"/>
    </row>
    <row r="30" spans="1:7" ht="38.25">
      <c r="A30" s="34" t="s">
        <v>89</v>
      </c>
      <c r="B30" s="35" t="s">
        <v>158</v>
      </c>
      <c r="C30" s="36" t="s">
        <v>108</v>
      </c>
      <c r="D30" s="38">
        <v>28.4</v>
      </c>
      <c r="F30" s="920">
        <f>ROUND(ROUND(D30,2)*ROUND(E30,2),2)</f>
        <v>0</v>
      </c>
      <c r="G30" s="46"/>
    </row>
    <row r="31" spans="1:7">
      <c r="G31" s="46"/>
    </row>
    <row r="32" spans="1:7" ht="38.25">
      <c r="A32" s="34" t="s">
        <v>91</v>
      </c>
      <c r="B32" s="35" t="s">
        <v>159</v>
      </c>
      <c r="C32" s="36" t="s">
        <v>100</v>
      </c>
      <c r="D32" s="38">
        <v>6.4</v>
      </c>
      <c r="F32" s="920">
        <f t="shared" ref="F32:F42" si="2">ROUND(ROUND(D32,2)*ROUND(E32,2),2)</f>
        <v>0</v>
      </c>
      <c r="G32" s="46"/>
    </row>
    <row r="33" spans="1:7">
      <c r="G33" s="46"/>
    </row>
    <row r="34" spans="1:7" ht="38.25">
      <c r="A34" s="34" t="s">
        <v>94</v>
      </c>
      <c r="B34" s="35" t="s">
        <v>160</v>
      </c>
      <c r="C34" s="36" t="s">
        <v>100</v>
      </c>
      <c r="D34" s="38">
        <v>2.1</v>
      </c>
      <c r="F34" s="920">
        <f t="shared" si="2"/>
        <v>0</v>
      </c>
      <c r="G34" s="46"/>
    </row>
    <row r="35" spans="1:7">
      <c r="G35" s="46"/>
    </row>
    <row r="36" spans="1:7" ht="51">
      <c r="A36" s="34" t="s">
        <v>96</v>
      </c>
      <c r="B36" s="35" t="s">
        <v>161</v>
      </c>
      <c r="C36" s="36" t="s">
        <v>100</v>
      </c>
      <c r="D36" s="38">
        <v>118.8</v>
      </c>
      <c r="F36" s="920">
        <f t="shared" si="2"/>
        <v>0</v>
      </c>
      <c r="G36" s="46"/>
    </row>
    <row r="37" spans="1:7">
      <c r="G37" s="46"/>
    </row>
    <row r="38" spans="1:7" ht="76.5">
      <c r="A38" s="34" t="s">
        <v>101</v>
      </c>
      <c r="B38" s="35" t="s">
        <v>162</v>
      </c>
      <c r="C38" s="36" t="s">
        <v>100</v>
      </c>
      <c r="D38" s="38">
        <v>97.1</v>
      </c>
      <c r="F38" s="920">
        <f t="shared" si="2"/>
        <v>0</v>
      </c>
      <c r="G38" s="46"/>
    </row>
    <row r="39" spans="1:7">
      <c r="G39" s="46"/>
    </row>
    <row r="40" spans="1:7" ht="38.25">
      <c r="A40" s="34" t="s">
        <v>102</v>
      </c>
      <c r="B40" s="35" t="s">
        <v>112</v>
      </c>
      <c r="C40" s="36" t="s">
        <v>113</v>
      </c>
      <c r="D40" s="38">
        <v>10</v>
      </c>
      <c r="F40" s="920">
        <f t="shared" si="2"/>
        <v>0</v>
      </c>
      <c r="G40" s="46"/>
    </row>
    <row r="41" spans="1:7">
      <c r="G41" s="46"/>
    </row>
    <row r="42" spans="1:7" ht="38.25">
      <c r="A42" s="34" t="s">
        <v>103</v>
      </c>
      <c r="B42" s="35" t="s">
        <v>163</v>
      </c>
      <c r="C42" s="36" t="s">
        <v>90</v>
      </c>
      <c r="D42" s="38">
        <v>1</v>
      </c>
      <c r="F42" s="920">
        <f t="shared" si="2"/>
        <v>0</v>
      </c>
      <c r="G42" s="46"/>
    </row>
    <row r="43" spans="1:7">
      <c r="G43" s="46"/>
    </row>
    <row r="44" spans="1:7" s="43" customFormat="1" ht="13.5" thickBot="1">
      <c r="A44" s="34"/>
      <c r="B44" s="52" t="s">
        <v>114</v>
      </c>
      <c r="C44" s="50"/>
      <c r="D44" s="51"/>
      <c r="E44" s="95"/>
      <c r="F44" s="923">
        <f>SUM(F30:F43)</f>
        <v>0</v>
      </c>
      <c r="G44" s="46"/>
    </row>
    <row r="45" spans="1:7" s="43" customFormat="1" ht="16.5" thickTop="1">
      <c r="A45" s="39" t="s">
        <v>15</v>
      </c>
      <c r="B45" s="40" t="s">
        <v>16</v>
      </c>
      <c r="C45" s="36"/>
      <c r="D45" s="38"/>
      <c r="E45" s="93"/>
      <c r="F45" s="922"/>
      <c r="G45" s="42"/>
    </row>
    <row r="46" spans="1:7" s="43" customFormat="1" ht="12.75">
      <c r="A46" s="44"/>
      <c r="B46" s="53"/>
      <c r="C46" s="36"/>
      <c r="D46" s="38"/>
      <c r="E46" s="93"/>
      <c r="F46" s="922"/>
      <c r="G46" s="46"/>
    </row>
    <row r="47" spans="1:7" s="43" customFormat="1" ht="38.25">
      <c r="A47" s="34" t="s">
        <v>89</v>
      </c>
      <c r="B47" s="35" t="s">
        <v>164</v>
      </c>
      <c r="C47" s="36" t="s">
        <v>98</v>
      </c>
      <c r="D47" s="38">
        <v>3.5</v>
      </c>
      <c r="E47" s="93"/>
      <c r="F47" s="920">
        <f>ROUND(ROUND(D47,2)*ROUND(E47,2),2)</f>
        <v>0</v>
      </c>
      <c r="G47" s="46"/>
    </row>
    <row r="48" spans="1:7" s="43" customFormat="1" ht="12.75">
      <c r="A48" s="34"/>
      <c r="B48" s="35"/>
      <c r="E48" s="96"/>
      <c r="F48" s="920"/>
      <c r="G48" s="46"/>
    </row>
    <row r="49" spans="1:7" s="43" customFormat="1" ht="38.25">
      <c r="A49" s="34" t="s">
        <v>91</v>
      </c>
      <c r="B49" s="35" t="s">
        <v>165</v>
      </c>
      <c r="C49" s="36" t="s">
        <v>98</v>
      </c>
      <c r="D49" s="38">
        <v>1</v>
      </c>
      <c r="E49" s="93"/>
      <c r="F49" s="920">
        <f t="shared" ref="F49:F65" si="3">ROUND(ROUND(D49,2)*ROUND(E49,2),2)</f>
        <v>0</v>
      </c>
      <c r="G49" s="46"/>
    </row>
    <row r="50" spans="1:7" s="43" customFormat="1" ht="12.75">
      <c r="A50" s="34"/>
      <c r="B50" s="35"/>
      <c r="C50" s="36"/>
      <c r="D50" s="38"/>
      <c r="E50" s="93"/>
      <c r="F50" s="920"/>
      <c r="G50" s="46"/>
    </row>
    <row r="51" spans="1:7" s="43" customFormat="1" ht="38.25">
      <c r="A51" s="34" t="s">
        <v>94</v>
      </c>
      <c r="B51" s="35" t="s">
        <v>166</v>
      </c>
      <c r="C51" s="36" t="s">
        <v>98</v>
      </c>
      <c r="D51" s="38">
        <v>7.6</v>
      </c>
      <c r="E51" s="93"/>
      <c r="F51" s="920">
        <f t="shared" si="3"/>
        <v>0</v>
      </c>
      <c r="G51" s="46"/>
    </row>
    <row r="52" spans="1:7" s="43" customFormat="1" ht="12.75">
      <c r="A52" s="34"/>
      <c r="B52" s="35"/>
      <c r="E52" s="96"/>
      <c r="F52" s="920"/>
      <c r="G52" s="46"/>
    </row>
    <row r="53" spans="1:7" s="43" customFormat="1" ht="38.25">
      <c r="A53" s="34" t="s">
        <v>96</v>
      </c>
      <c r="B53" s="35" t="s">
        <v>167</v>
      </c>
      <c r="C53" s="36" t="s">
        <v>98</v>
      </c>
      <c r="D53" s="38">
        <v>3.2</v>
      </c>
      <c r="E53" s="93"/>
      <c r="F53" s="920">
        <f t="shared" si="3"/>
        <v>0</v>
      </c>
      <c r="G53" s="46"/>
    </row>
    <row r="54" spans="1:7" s="43" customFormat="1" ht="12.75">
      <c r="A54" s="34"/>
      <c r="B54" s="35"/>
      <c r="C54" s="36"/>
      <c r="D54" s="38"/>
      <c r="E54" s="93"/>
      <c r="F54" s="920"/>
      <c r="G54" s="46"/>
    </row>
    <row r="55" spans="1:7" s="43" customFormat="1" ht="38.25">
      <c r="A55" s="34" t="s">
        <v>101</v>
      </c>
      <c r="B55" s="35" t="s">
        <v>168</v>
      </c>
      <c r="C55" s="36" t="s">
        <v>98</v>
      </c>
      <c r="D55" s="38">
        <v>0.4</v>
      </c>
      <c r="E55" s="93"/>
      <c r="F55" s="920">
        <f t="shared" si="3"/>
        <v>0</v>
      </c>
      <c r="G55" s="46"/>
    </row>
    <row r="56" spans="1:7" s="43" customFormat="1" ht="12.75">
      <c r="A56" s="34"/>
      <c r="B56" s="35"/>
      <c r="C56" s="36"/>
      <c r="D56" s="38"/>
      <c r="E56" s="93"/>
      <c r="F56" s="920"/>
      <c r="G56" s="46"/>
    </row>
    <row r="57" spans="1:7" s="43" customFormat="1" ht="38.25">
      <c r="A57" s="34" t="s">
        <v>102</v>
      </c>
      <c r="B57" s="35" t="s">
        <v>169</v>
      </c>
      <c r="C57" s="36" t="s">
        <v>98</v>
      </c>
      <c r="D57" s="38">
        <v>14.9</v>
      </c>
      <c r="E57" s="93"/>
      <c r="F57" s="920">
        <f t="shared" si="3"/>
        <v>0</v>
      </c>
      <c r="G57" s="46"/>
    </row>
    <row r="58" spans="1:7" s="43" customFormat="1" ht="12.75">
      <c r="A58" s="34"/>
      <c r="B58" s="35"/>
      <c r="C58" s="36"/>
      <c r="D58" s="38"/>
      <c r="E58" s="93"/>
      <c r="F58" s="920"/>
      <c r="G58" s="46"/>
    </row>
    <row r="59" spans="1:7" s="43" customFormat="1" ht="38.25">
      <c r="A59" s="34" t="s">
        <v>103</v>
      </c>
      <c r="B59" s="35" t="s">
        <v>170</v>
      </c>
      <c r="C59" s="36" t="s">
        <v>98</v>
      </c>
      <c r="D59" s="38">
        <v>8.9</v>
      </c>
      <c r="E59" s="93"/>
      <c r="F59" s="920">
        <f t="shared" si="3"/>
        <v>0</v>
      </c>
      <c r="G59" s="46"/>
    </row>
    <row r="60" spans="1:7" s="43" customFormat="1" ht="12.75">
      <c r="A60" s="34"/>
      <c r="B60" s="35"/>
      <c r="C60" s="36"/>
      <c r="D60" s="38"/>
      <c r="E60" s="93"/>
      <c r="F60" s="920"/>
      <c r="G60" s="46"/>
    </row>
    <row r="61" spans="1:7" s="43" customFormat="1" ht="51">
      <c r="A61" s="34" t="s">
        <v>104</v>
      </c>
      <c r="B61" s="35" t="s">
        <v>115</v>
      </c>
      <c r="C61" s="36" t="s">
        <v>116</v>
      </c>
      <c r="D61" s="38">
        <v>1900</v>
      </c>
      <c r="E61" s="93"/>
      <c r="F61" s="920">
        <f t="shared" si="3"/>
        <v>0</v>
      </c>
      <c r="G61" s="46"/>
    </row>
    <row r="62" spans="1:7" s="43" customFormat="1" ht="12.75">
      <c r="A62" s="44"/>
      <c r="B62" s="35"/>
      <c r="C62" s="36"/>
      <c r="D62" s="38"/>
      <c r="E62" s="93"/>
      <c r="F62" s="920"/>
      <c r="G62" s="46"/>
    </row>
    <row r="63" spans="1:7" s="43" customFormat="1" ht="38.25">
      <c r="A63" s="34" t="s">
        <v>105</v>
      </c>
      <c r="B63" s="35" t="s">
        <v>117</v>
      </c>
      <c r="C63" s="36" t="s">
        <v>116</v>
      </c>
      <c r="D63" s="38">
        <v>800</v>
      </c>
      <c r="E63" s="93"/>
      <c r="F63" s="920">
        <f t="shared" si="3"/>
        <v>0</v>
      </c>
      <c r="G63" s="46"/>
    </row>
    <row r="64" spans="1:7" s="43" customFormat="1" ht="12.75">
      <c r="A64" s="44"/>
      <c r="B64" s="35"/>
      <c r="C64" s="36"/>
      <c r="D64" s="38"/>
      <c r="E64" s="93"/>
      <c r="F64" s="920"/>
      <c r="G64" s="46"/>
    </row>
    <row r="65" spans="1:7" s="43" customFormat="1" ht="38.25">
      <c r="A65" s="34" t="s">
        <v>109</v>
      </c>
      <c r="B65" s="35" t="s">
        <v>118</v>
      </c>
      <c r="C65" s="36" t="s">
        <v>116</v>
      </c>
      <c r="D65" s="38">
        <v>1500</v>
      </c>
      <c r="E65" s="93"/>
      <c r="F65" s="920">
        <f t="shared" si="3"/>
        <v>0</v>
      </c>
      <c r="G65" s="46"/>
    </row>
    <row r="66" spans="1:7" s="43" customFormat="1" ht="12.75">
      <c r="A66" s="34"/>
      <c r="B66" s="35"/>
      <c r="C66" s="36"/>
      <c r="D66" s="38"/>
      <c r="E66" s="93"/>
      <c r="F66" s="920"/>
      <c r="G66" s="46"/>
    </row>
    <row r="67" spans="1:7" s="43" customFormat="1" ht="13.5" thickBot="1">
      <c r="A67" s="34"/>
      <c r="B67" s="52" t="s">
        <v>119</v>
      </c>
      <c r="C67" s="50"/>
      <c r="D67" s="51"/>
      <c r="E67" s="95"/>
      <c r="F67" s="923">
        <f>SUM(F47:F66)</f>
        <v>0</v>
      </c>
      <c r="G67" s="46"/>
    </row>
    <row r="68" spans="1:7" s="43" customFormat="1" ht="16.5" thickTop="1">
      <c r="A68" s="39" t="s">
        <v>17</v>
      </c>
      <c r="B68" s="40" t="s">
        <v>18</v>
      </c>
      <c r="C68" s="36"/>
      <c r="D68" s="38"/>
      <c r="E68" s="93"/>
      <c r="F68" s="922"/>
      <c r="G68" s="42"/>
    </row>
    <row r="69" spans="1:7" s="43" customFormat="1" ht="12.75">
      <c r="A69" s="44"/>
      <c r="B69" s="53"/>
      <c r="C69" s="36"/>
      <c r="D69" s="38"/>
      <c r="E69" s="93"/>
      <c r="F69" s="922"/>
      <c r="G69" s="46"/>
    </row>
    <row r="70" spans="1:7" ht="38.25">
      <c r="A70" s="34" t="s">
        <v>89</v>
      </c>
      <c r="B70" s="35" t="s">
        <v>171</v>
      </c>
      <c r="C70" s="36" t="s">
        <v>100</v>
      </c>
      <c r="D70" s="37">
        <v>34.799999999999997</v>
      </c>
      <c r="F70" s="920">
        <f>ROUND(ROUND(D70,2)*ROUND(E70,2),2)</f>
        <v>0</v>
      </c>
    </row>
    <row r="71" spans="1:7">
      <c r="D71" s="37"/>
    </row>
    <row r="72" spans="1:7" ht="38.25">
      <c r="A72" s="34" t="s">
        <v>91</v>
      </c>
      <c r="B72" s="35" t="s">
        <v>172</v>
      </c>
      <c r="C72" s="36" t="s">
        <v>100</v>
      </c>
      <c r="D72" s="37">
        <v>14.8</v>
      </c>
      <c r="F72" s="920">
        <f t="shared" ref="F72:F94" si="4">ROUND(ROUND(D72,2)*ROUND(E72,2),2)</f>
        <v>0</v>
      </c>
    </row>
    <row r="73" spans="1:7">
      <c r="D73" s="37"/>
    </row>
    <row r="74" spans="1:7" ht="129.94999999999999" customHeight="1">
      <c r="A74" s="34" t="s">
        <v>94</v>
      </c>
      <c r="B74" s="35" t="s">
        <v>173</v>
      </c>
      <c r="C74" s="36" t="s">
        <v>100</v>
      </c>
      <c r="D74" s="37">
        <v>30.3</v>
      </c>
      <c r="F74" s="920">
        <f t="shared" si="4"/>
        <v>0</v>
      </c>
    </row>
    <row r="75" spans="1:7">
      <c r="D75" s="37"/>
    </row>
    <row r="76" spans="1:7" ht="110.1" customHeight="1">
      <c r="A76" s="34" t="s">
        <v>96</v>
      </c>
      <c r="B76" s="35" t="s">
        <v>174</v>
      </c>
      <c r="C76" s="36" t="s">
        <v>100</v>
      </c>
      <c r="D76" s="37">
        <v>14.2</v>
      </c>
      <c r="F76" s="920">
        <f t="shared" si="4"/>
        <v>0</v>
      </c>
    </row>
    <row r="77" spans="1:7">
      <c r="D77" s="37"/>
    </row>
    <row r="78" spans="1:7">
      <c r="A78" s="34" t="s">
        <v>101</v>
      </c>
      <c r="B78" s="35" t="s">
        <v>175</v>
      </c>
      <c r="C78" s="36" t="s">
        <v>100</v>
      </c>
      <c r="D78" s="37">
        <v>16</v>
      </c>
      <c r="F78" s="920">
        <f t="shared" si="4"/>
        <v>0</v>
      </c>
    </row>
    <row r="79" spans="1:7">
      <c r="D79" s="37"/>
    </row>
    <row r="80" spans="1:7" ht="127.5">
      <c r="A80" s="34" t="s">
        <v>102</v>
      </c>
      <c r="B80" s="35" t="s">
        <v>176</v>
      </c>
      <c r="C80" s="36" t="s">
        <v>100</v>
      </c>
      <c r="D80" s="37">
        <v>4.2</v>
      </c>
      <c r="F80" s="920">
        <f t="shared" si="4"/>
        <v>0</v>
      </c>
    </row>
    <row r="81" spans="1:6">
      <c r="D81" s="37"/>
    </row>
    <row r="82" spans="1:6" ht="275.10000000000002" customHeight="1">
      <c r="A82" s="34" t="s">
        <v>103</v>
      </c>
      <c r="B82" s="35" t="s">
        <v>177</v>
      </c>
      <c r="C82" s="36" t="s">
        <v>100</v>
      </c>
      <c r="D82" s="37">
        <v>18.5</v>
      </c>
      <c r="F82" s="920">
        <f t="shared" si="4"/>
        <v>0</v>
      </c>
    </row>
    <row r="83" spans="1:6">
      <c r="D83" s="37"/>
    </row>
    <row r="84" spans="1:6" ht="76.5">
      <c r="A84" s="34" t="s">
        <v>104</v>
      </c>
      <c r="B84" s="35" t="s">
        <v>178</v>
      </c>
      <c r="C84" s="36" t="s">
        <v>113</v>
      </c>
      <c r="D84" s="37">
        <v>2</v>
      </c>
      <c r="F84" s="920">
        <f t="shared" si="4"/>
        <v>0</v>
      </c>
    </row>
    <row r="85" spans="1:6">
      <c r="D85" s="37"/>
    </row>
    <row r="86" spans="1:6" ht="89.25">
      <c r="A86" s="34" t="s">
        <v>105</v>
      </c>
      <c r="B86" s="35" t="s">
        <v>179</v>
      </c>
      <c r="C86" s="36" t="s">
        <v>100</v>
      </c>
      <c r="D86" s="37">
        <v>173.1</v>
      </c>
      <c r="F86" s="920">
        <f t="shared" si="4"/>
        <v>0</v>
      </c>
    </row>
    <row r="87" spans="1:6">
      <c r="D87" s="37"/>
    </row>
    <row r="88" spans="1:6" ht="51">
      <c r="A88" s="34" t="s">
        <v>109</v>
      </c>
      <c r="B88" s="35" t="s">
        <v>180</v>
      </c>
      <c r="C88" s="36" t="s">
        <v>113</v>
      </c>
      <c r="D88" s="37">
        <v>2</v>
      </c>
      <c r="F88" s="920">
        <f t="shared" si="4"/>
        <v>0</v>
      </c>
    </row>
    <row r="89" spans="1:6">
      <c r="D89" s="37"/>
    </row>
    <row r="90" spans="1:6" ht="51">
      <c r="A90" s="34" t="s">
        <v>110</v>
      </c>
      <c r="B90" s="35" t="s">
        <v>181</v>
      </c>
      <c r="C90" s="36" t="s">
        <v>90</v>
      </c>
      <c r="D90" s="38">
        <v>1</v>
      </c>
      <c r="E90" s="94"/>
      <c r="F90" s="920">
        <f t="shared" si="4"/>
        <v>0</v>
      </c>
    </row>
    <row r="91" spans="1:6">
      <c r="E91" s="94"/>
    </row>
    <row r="92" spans="1:6" ht="63.75">
      <c r="A92" s="34" t="s">
        <v>111</v>
      </c>
      <c r="B92" s="35" t="s">
        <v>182</v>
      </c>
      <c r="F92" s="920">
        <f t="shared" si="4"/>
        <v>0</v>
      </c>
    </row>
    <row r="93" spans="1:6">
      <c r="A93" s="34" t="s">
        <v>183</v>
      </c>
      <c r="B93" s="35" t="s">
        <v>120</v>
      </c>
      <c r="C93" s="36" t="s">
        <v>121</v>
      </c>
      <c r="D93" s="38">
        <v>50</v>
      </c>
      <c r="F93" s="920">
        <f t="shared" si="4"/>
        <v>0</v>
      </c>
    </row>
    <row r="94" spans="1:6">
      <c r="A94" s="34" t="s">
        <v>184</v>
      </c>
      <c r="B94" s="35" t="s">
        <v>122</v>
      </c>
      <c r="C94" s="36" t="s">
        <v>121</v>
      </c>
      <c r="D94" s="38">
        <v>50</v>
      </c>
      <c r="F94" s="920">
        <f t="shared" si="4"/>
        <v>0</v>
      </c>
    </row>
    <row r="95" spans="1:6">
      <c r="A95" s="44"/>
      <c r="B95" s="53"/>
      <c r="F95" s="922"/>
    </row>
    <row r="96" spans="1:6" ht="15" thickBot="1">
      <c r="B96" s="52" t="s">
        <v>123</v>
      </c>
      <c r="C96" s="50"/>
      <c r="D96" s="51"/>
      <c r="E96" s="95"/>
      <c r="F96" s="923">
        <f>SUM(F70:F95)</f>
        <v>0</v>
      </c>
    </row>
    <row r="97" ht="15" thickTop="1"/>
  </sheetData>
  <sheetProtection algorithmName="SHA-512" hashValue="W2fFZYuGiLmsuWmy89K19u6vL/fgvprgWIzrsRpcfQmSfR71yeFJ0ms/VbIjx/XVyEFTjYBoL/37pJtZuFyb0Q==" saltValue="oqgMhmkUa9RK7x6H6B2e0Q==" spinCount="100000" sheet="1" objects="1" scenarios="1" formatCells="0" formatColumns="0" formatRows="0"/>
  <pageMargins left="0.7" right="0.7" top="0.75" bottom="0.75" header="0.3" footer="0.3"/>
  <pageSetup paperSize="9" scale="95" fitToHeight="0" pageOrder="overThenDown" orientation="portrait" r:id="rId1"/>
  <headerFooter alignWithMargins="0">
    <oddFooter>&amp;C&amp;10Stran &amp;P od &amp;N</oddFooter>
  </headerFooter>
  <rowBreaks count="4" manualBreakCount="4">
    <brk id="14" man="1"/>
    <brk id="27" man="1"/>
    <brk id="44" man="1"/>
    <brk id="6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97"/>
  <sheetViews>
    <sheetView view="pageBreakPreview" zoomScaleNormal="100" zoomScaleSheetLayoutView="100" workbookViewId="0">
      <selection activeCell="F1" sqref="F1:F1048576"/>
    </sheetView>
  </sheetViews>
  <sheetFormatPr defaultRowHeight="14.25"/>
  <cols>
    <col min="1" max="1" width="4.375" style="67" customWidth="1"/>
    <col min="2" max="2" width="30.375" style="68" customWidth="1"/>
    <col min="3" max="3" width="8.5" style="55" customWidth="1"/>
    <col min="4" max="4" width="9.625" style="38" customWidth="1"/>
    <col min="5" max="5" width="14.25" style="38" customWidth="1"/>
    <col min="6" max="6" width="17.25" style="921" customWidth="1"/>
    <col min="7" max="256" width="8.5" style="55" customWidth="1"/>
    <col min="257" max="1024" width="10.75" customWidth="1"/>
    <col min="1025" max="1025" width="9" customWidth="1"/>
  </cols>
  <sheetData>
    <row r="1" spans="1:6">
      <c r="A1" s="54"/>
      <c r="B1" s="32"/>
      <c r="C1" s="36" t="s">
        <v>85</v>
      </c>
      <c r="D1" s="36" t="s">
        <v>86</v>
      </c>
      <c r="E1" s="36" t="s">
        <v>87</v>
      </c>
      <c r="F1" s="924" t="s">
        <v>88</v>
      </c>
    </row>
    <row r="2" spans="1:6" s="60" customFormat="1" ht="15.75">
      <c r="A2" s="56" t="s">
        <v>22</v>
      </c>
      <c r="B2" s="57" t="s">
        <v>23</v>
      </c>
      <c r="C2" s="58"/>
      <c r="D2" s="59"/>
      <c r="E2" s="97"/>
      <c r="F2" s="925"/>
    </row>
    <row r="3" spans="1:6" s="65" customFormat="1" ht="12.75">
      <c r="A3" s="61"/>
      <c r="B3" s="62"/>
      <c r="C3" s="63"/>
      <c r="D3" s="64"/>
      <c r="E3" s="98"/>
      <c r="F3" s="926"/>
    </row>
    <row r="4" spans="1:6" s="65" customFormat="1" ht="15.75">
      <c r="A4" s="56" t="s">
        <v>9</v>
      </c>
      <c r="B4" s="28" t="s">
        <v>185</v>
      </c>
      <c r="C4" s="62"/>
      <c r="D4" s="43"/>
      <c r="E4" s="96"/>
      <c r="F4" s="927"/>
    </row>
    <row r="5" spans="1:6" s="65" customFormat="1" ht="12.75">
      <c r="A5" s="61"/>
      <c r="B5" s="66"/>
      <c r="C5" s="62"/>
      <c r="D5" s="43"/>
      <c r="E5" s="96"/>
      <c r="F5" s="927"/>
    </row>
    <row r="6" spans="1:6" s="65" customFormat="1" ht="191.25">
      <c r="A6" s="67" t="s">
        <v>89</v>
      </c>
      <c r="B6" s="68" t="s">
        <v>186</v>
      </c>
      <c r="C6" s="36" t="s">
        <v>116</v>
      </c>
      <c r="D6" s="38">
        <v>3150</v>
      </c>
      <c r="E6" s="94"/>
      <c r="F6" s="921">
        <f>+D6*E6</f>
        <v>0</v>
      </c>
    </row>
    <row r="7" spans="1:6" s="65" customFormat="1" ht="12.75">
      <c r="A7" s="69"/>
      <c r="B7" s="68"/>
      <c r="C7" s="36"/>
      <c r="D7" s="38"/>
      <c r="E7" s="94"/>
      <c r="F7" s="921"/>
    </row>
    <row r="8" spans="1:6" s="65" customFormat="1" ht="110.1" customHeight="1">
      <c r="A8" s="67" t="s">
        <v>91</v>
      </c>
      <c r="B8" s="68" t="s">
        <v>187</v>
      </c>
      <c r="C8" s="36" t="s">
        <v>108</v>
      </c>
      <c r="D8" s="38">
        <v>42.9</v>
      </c>
      <c r="E8" s="94"/>
      <c r="F8" s="921">
        <f>+D8*E8</f>
        <v>0</v>
      </c>
    </row>
    <row r="9" spans="1:6" s="65" customFormat="1" ht="12.75">
      <c r="A9" s="69"/>
      <c r="B9" s="68"/>
      <c r="C9" s="36"/>
      <c r="D9" s="38"/>
      <c r="E9" s="94"/>
      <c r="F9" s="921"/>
    </row>
    <row r="10" spans="1:6" s="65" customFormat="1" ht="120" customHeight="1">
      <c r="A10" s="67" t="s">
        <v>94</v>
      </c>
      <c r="B10" s="68" t="s">
        <v>202</v>
      </c>
      <c r="C10" s="36" t="s">
        <v>108</v>
      </c>
      <c r="D10" s="38">
        <v>11.5</v>
      </c>
      <c r="E10" s="94"/>
      <c r="F10" s="921">
        <f>+D10*E10</f>
        <v>0</v>
      </c>
    </row>
    <row r="11" spans="1:6" s="65" customFormat="1" ht="12.75">
      <c r="A11" s="67"/>
      <c r="B11" s="68"/>
      <c r="C11" s="36"/>
      <c r="D11" s="38"/>
      <c r="E11" s="94"/>
      <c r="F11" s="921"/>
    </row>
    <row r="12" spans="1:6" s="65" customFormat="1" ht="120" customHeight="1">
      <c r="A12" s="67" t="s">
        <v>96</v>
      </c>
      <c r="B12" s="68" t="s">
        <v>203</v>
      </c>
      <c r="C12" s="36" t="s">
        <v>108</v>
      </c>
      <c r="D12" s="38">
        <v>10</v>
      </c>
      <c r="E12" s="94"/>
      <c r="F12" s="921">
        <f>+D12*E12</f>
        <v>0</v>
      </c>
    </row>
    <row r="13" spans="1:6" s="65" customFormat="1" ht="12.75">
      <c r="A13" s="69"/>
      <c r="B13" s="68"/>
      <c r="C13" s="36"/>
      <c r="D13" s="38"/>
      <c r="E13" s="94"/>
      <c r="F13" s="921"/>
    </row>
    <row r="14" spans="1:6" s="65" customFormat="1" ht="110.1" customHeight="1">
      <c r="A14" s="67" t="s">
        <v>101</v>
      </c>
      <c r="B14" s="68" t="s">
        <v>188</v>
      </c>
      <c r="C14" s="36" t="s">
        <v>100</v>
      </c>
      <c r="D14" s="38">
        <v>41.1</v>
      </c>
      <c r="E14" s="94"/>
      <c r="F14" s="921">
        <f>+D14*E14</f>
        <v>0</v>
      </c>
    </row>
    <row r="15" spans="1:6" s="65" customFormat="1" ht="12.75">
      <c r="A15" s="69"/>
      <c r="B15" s="68"/>
      <c r="C15" s="36"/>
      <c r="D15" s="38"/>
      <c r="E15" s="94"/>
      <c r="F15" s="921"/>
    </row>
    <row r="16" spans="1:6" s="65" customFormat="1" ht="144.94999999999999" customHeight="1">
      <c r="A16" s="67" t="s">
        <v>102</v>
      </c>
      <c r="B16" s="68" t="s">
        <v>189</v>
      </c>
      <c r="C16" s="36"/>
      <c r="D16" s="38"/>
      <c r="E16" s="94"/>
      <c r="F16" s="921"/>
    </row>
    <row r="17" spans="1:6" s="65" customFormat="1" ht="25.5">
      <c r="A17" s="67" t="s">
        <v>131</v>
      </c>
      <c r="B17" s="68" t="s">
        <v>190</v>
      </c>
      <c r="C17" s="36" t="s">
        <v>108</v>
      </c>
      <c r="D17" s="38">
        <v>132</v>
      </c>
      <c r="E17" s="94"/>
      <c r="F17" s="921">
        <f t="shared" ref="F17:F21" si="0">+D17*E17</f>
        <v>0</v>
      </c>
    </row>
    <row r="18" spans="1:6" s="65" customFormat="1" ht="25.5">
      <c r="A18" s="67" t="s">
        <v>133</v>
      </c>
      <c r="B18" s="68" t="s">
        <v>191</v>
      </c>
      <c r="C18" s="36" t="s">
        <v>108</v>
      </c>
      <c r="D18" s="38">
        <v>6</v>
      </c>
      <c r="E18" s="94"/>
      <c r="F18" s="921">
        <f t="shared" si="0"/>
        <v>0</v>
      </c>
    </row>
    <row r="19" spans="1:6" s="65" customFormat="1" ht="25.5">
      <c r="A19" s="67" t="s">
        <v>135</v>
      </c>
      <c r="B19" s="68" t="s">
        <v>192</v>
      </c>
      <c r="C19" s="36" t="s">
        <v>108</v>
      </c>
      <c r="D19" s="38">
        <v>12</v>
      </c>
      <c r="E19" s="94"/>
      <c r="F19" s="921">
        <f t="shared" si="0"/>
        <v>0</v>
      </c>
    </row>
    <row r="20" spans="1:6" s="65" customFormat="1" ht="25.5">
      <c r="A20" s="67" t="s">
        <v>140</v>
      </c>
      <c r="B20" s="68" t="s">
        <v>193</v>
      </c>
      <c r="C20" s="36" t="s">
        <v>108</v>
      </c>
      <c r="D20" s="38">
        <v>4</v>
      </c>
      <c r="E20" s="94"/>
      <c r="F20" s="921">
        <f t="shared" si="0"/>
        <v>0</v>
      </c>
    </row>
    <row r="21" spans="1:6" s="65" customFormat="1" ht="63.75">
      <c r="A21" s="67" t="s">
        <v>141</v>
      </c>
      <c r="B21" s="68" t="s">
        <v>194</v>
      </c>
      <c r="C21" s="36" t="s">
        <v>108</v>
      </c>
      <c r="D21" s="38">
        <v>19</v>
      </c>
      <c r="E21" s="94"/>
      <c r="F21" s="921">
        <f t="shared" si="0"/>
        <v>0</v>
      </c>
    </row>
    <row r="22" spans="1:6" s="65" customFormat="1" ht="12.75">
      <c r="A22" s="67"/>
      <c r="B22" s="68"/>
      <c r="C22" s="36"/>
      <c r="D22" s="38"/>
      <c r="E22" s="94"/>
      <c r="F22" s="921"/>
    </row>
    <row r="23" spans="1:6" s="65" customFormat="1" ht="120" customHeight="1">
      <c r="A23" s="67" t="s">
        <v>103</v>
      </c>
      <c r="B23" s="68" t="s">
        <v>195</v>
      </c>
      <c r="C23" s="36" t="s">
        <v>108</v>
      </c>
      <c r="D23" s="38">
        <v>57</v>
      </c>
      <c r="E23" s="94"/>
      <c r="F23" s="921">
        <f>+D23*E23</f>
        <v>0</v>
      </c>
    </row>
    <row r="24" spans="1:6" s="65" customFormat="1" ht="12.75">
      <c r="A24" s="69"/>
      <c r="B24" s="68"/>
      <c r="C24" s="36"/>
      <c r="D24" s="38"/>
      <c r="E24" s="94"/>
      <c r="F24" s="921"/>
    </row>
    <row r="25" spans="1:6" s="65" customFormat="1" ht="13.5" thickBot="1">
      <c r="A25" s="69"/>
      <c r="B25" s="70" t="s">
        <v>196</v>
      </c>
      <c r="C25" s="71"/>
      <c r="D25" s="72"/>
      <c r="E25" s="99"/>
      <c r="F25" s="928">
        <f>SUM(F3:F24)</f>
        <v>0</v>
      </c>
    </row>
    <row r="26" spans="1:6" s="65" customFormat="1" ht="16.5" thickTop="1">
      <c r="A26" s="56" t="s">
        <v>11</v>
      </c>
      <c r="B26" s="28" t="s">
        <v>24</v>
      </c>
      <c r="C26" s="62"/>
      <c r="D26" s="43"/>
      <c r="E26" s="96"/>
      <c r="F26" s="927"/>
    </row>
    <row r="27" spans="1:6" s="65" customFormat="1" ht="12.75">
      <c r="A27" s="61"/>
      <c r="B27" s="66"/>
      <c r="C27" s="62"/>
      <c r="D27" s="43"/>
      <c r="E27" s="96"/>
      <c r="F27" s="927"/>
    </row>
    <row r="28" spans="1:6" s="65" customFormat="1" ht="129.94999999999999" customHeight="1">
      <c r="A28" s="67" t="s">
        <v>89</v>
      </c>
      <c r="B28" s="68" t="s">
        <v>197</v>
      </c>
      <c r="C28" s="36" t="s">
        <v>100</v>
      </c>
      <c r="D28" s="38">
        <v>115.1</v>
      </c>
      <c r="E28" s="94"/>
      <c r="F28" s="921">
        <f>+D28*E28</f>
        <v>0</v>
      </c>
    </row>
    <row r="29" spans="1:6" s="65" customFormat="1" ht="12.75">
      <c r="A29" s="69"/>
      <c r="B29" s="68"/>
      <c r="C29" s="36"/>
      <c r="D29" s="38"/>
      <c r="E29" s="94"/>
      <c r="F29" s="921"/>
    </row>
    <row r="30" spans="1:6" s="65" customFormat="1" ht="120" customHeight="1">
      <c r="A30" s="67" t="s">
        <v>91</v>
      </c>
      <c r="B30" s="68" t="s">
        <v>198</v>
      </c>
      <c r="C30" s="36" t="s">
        <v>100</v>
      </c>
      <c r="D30" s="38">
        <v>115.1</v>
      </c>
      <c r="E30" s="94"/>
      <c r="F30" s="921">
        <f>+D30*E30</f>
        <v>0</v>
      </c>
    </row>
    <row r="31" spans="1:6" s="65" customFormat="1" ht="12.75">
      <c r="A31" s="69"/>
      <c r="B31" s="68"/>
      <c r="C31" s="36"/>
      <c r="D31" s="38"/>
      <c r="E31" s="94"/>
      <c r="F31" s="921"/>
    </row>
    <row r="32" spans="1:6" s="65" customFormat="1" ht="63.75">
      <c r="A32" s="67" t="s">
        <v>94</v>
      </c>
      <c r="B32" s="68" t="s">
        <v>199</v>
      </c>
      <c r="C32" s="36" t="s">
        <v>100</v>
      </c>
      <c r="D32" s="38">
        <v>115.1</v>
      </c>
      <c r="E32" s="94"/>
      <c r="F32" s="921">
        <f>+D32*E32</f>
        <v>0</v>
      </c>
    </row>
    <row r="33" spans="1:6" s="65" customFormat="1" ht="12.75">
      <c r="A33" s="69"/>
      <c r="B33" s="68"/>
      <c r="C33" s="36"/>
      <c r="D33" s="38"/>
      <c r="E33" s="94"/>
      <c r="F33" s="921"/>
    </row>
    <row r="34" spans="1:6" s="65" customFormat="1" ht="89.25">
      <c r="A34" s="67" t="s">
        <v>96</v>
      </c>
      <c r="B34" s="68" t="s">
        <v>200</v>
      </c>
      <c r="C34" s="36" t="s">
        <v>108</v>
      </c>
      <c r="D34" s="38">
        <v>26.9</v>
      </c>
      <c r="E34" s="94"/>
      <c r="F34" s="921">
        <f>+D34*E34</f>
        <v>0</v>
      </c>
    </row>
    <row r="35" spans="1:6" s="65" customFormat="1" ht="12.75">
      <c r="A35" s="69"/>
      <c r="B35" s="68"/>
      <c r="C35" s="36"/>
      <c r="D35" s="38"/>
      <c r="E35" s="94"/>
      <c r="F35" s="921"/>
    </row>
    <row r="36" spans="1:6" s="65" customFormat="1" ht="63.75">
      <c r="A36" s="67" t="s">
        <v>101</v>
      </c>
      <c r="B36" s="68" t="s">
        <v>201</v>
      </c>
      <c r="C36" s="36" t="s">
        <v>108</v>
      </c>
      <c r="D36" s="38">
        <v>5.2</v>
      </c>
      <c r="E36" s="94"/>
      <c r="F36" s="921">
        <f>+D36*E36</f>
        <v>0</v>
      </c>
    </row>
    <row r="37" spans="1:6" s="65" customFormat="1" ht="12.75">
      <c r="A37" s="69"/>
      <c r="B37" s="68"/>
      <c r="C37" s="36"/>
      <c r="D37" s="38"/>
      <c r="E37" s="94"/>
      <c r="F37" s="921"/>
    </row>
    <row r="38" spans="1:6" s="65" customFormat="1" ht="129.94999999999999" customHeight="1">
      <c r="A38" s="67" t="s">
        <v>102</v>
      </c>
      <c r="B38" s="68" t="s">
        <v>204</v>
      </c>
      <c r="C38" s="36" t="s">
        <v>100</v>
      </c>
      <c r="D38" s="38">
        <v>115.1</v>
      </c>
      <c r="E38" s="94"/>
      <c r="F38" s="921">
        <f>+D38*E38</f>
        <v>0</v>
      </c>
    </row>
    <row r="39" spans="1:6" s="65" customFormat="1" ht="12.75">
      <c r="A39" s="69"/>
      <c r="B39" s="68"/>
      <c r="C39" s="36"/>
      <c r="D39" s="38"/>
      <c r="E39" s="94"/>
      <c r="F39" s="921"/>
    </row>
    <row r="40" spans="1:6" s="65" customFormat="1" ht="89.25">
      <c r="A40" s="67" t="s">
        <v>103</v>
      </c>
      <c r="B40" s="68" t="s">
        <v>205</v>
      </c>
      <c r="C40" s="36"/>
      <c r="D40" s="38"/>
      <c r="E40" s="94"/>
      <c r="F40" s="921"/>
    </row>
    <row r="41" spans="1:6" s="65" customFormat="1" ht="12.75">
      <c r="A41" s="67" t="s">
        <v>132</v>
      </c>
      <c r="B41" s="68" t="s">
        <v>206</v>
      </c>
      <c r="C41" s="36" t="s">
        <v>108</v>
      </c>
      <c r="D41" s="38">
        <v>10.9</v>
      </c>
      <c r="E41" s="94"/>
      <c r="F41" s="921">
        <f t="shared" ref="F41:F46" si="1">+D41*E41</f>
        <v>0</v>
      </c>
    </row>
    <row r="42" spans="1:6" s="65" customFormat="1" ht="25.5">
      <c r="A42" s="67" t="s">
        <v>134</v>
      </c>
      <c r="B42" s="68" t="s">
        <v>208</v>
      </c>
      <c r="C42" s="36" t="s">
        <v>108</v>
      </c>
      <c r="D42" s="38">
        <v>10.9</v>
      </c>
      <c r="E42" s="94"/>
      <c r="F42" s="921">
        <f t="shared" si="1"/>
        <v>0</v>
      </c>
    </row>
    <row r="43" spans="1:6" s="65" customFormat="1" ht="12.75">
      <c r="A43" s="67" t="s">
        <v>145</v>
      </c>
      <c r="B43" s="68" t="s">
        <v>207</v>
      </c>
      <c r="C43" s="36" t="s">
        <v>108</v>
      </c>
      <c r="D43" s="38">
        <v>3.5</v>
      </c>
      <c r="E43" s="94"/>
      <c r="F43" s="921">
        <f t="shared" si="1"/>
        <v>0</v>
      </c>
    </row>
    <row r="44" spans="1:6" s="65" customFormat="1" ht="25.5">
      <c r="A44" s="67" t="s">
        <v>209</v>
      </c>
      <c r="B44" s="68" t="s">
        <v>210</v>
      </c>
      <c r="C44" s="36" t="s">
        <v>108</v>
      </c>
      <c r="D44" s="38">
        <v>26.9</v>
      </c>
      <c r="E44" s="94"/>
      <c r="F44" s="921">
        <f t="shared" si="1"/>
        <v>0</v>
      </c>
    </row>
    <row r="45" spans="1:6" s="65" customFormat="1" ht="25.5">
      <c r="A45" s="67" t="s">
        <v>211</v>
      </c>
      <c r="B45" s="68" t="s">
        <v>212</v>
      </c>
      <c r="C45" s="36" t="s">
        <v>108</v>
      </c>
      <c r="D45" s="38">
        <v>5.2</v>
      </c>
      <c r="E45" s="94"/>
      <c r="F45" s="921">
        <f t="shared" si="1"/>
        <v>0</v>
      </c>
    </row>
    <row r="46" spans="1:6" s="65" customFormat="1" ht="38.25">
      <c r="A46" s="67" t="s">
        <v>214</v>
      </c>
      <c r="B46" s="68" t="s">
        <v>213</v>
      </c>
      <c r="C46" s="36" t="s">
        <v>108</v>
      </c>
      <c r="D46" s="38">
        <v>5.2</v>
      </c>
      <c r="E46" s="94"/>
      <c r="F46" s="921">
        <f t="shared" si="1"/>
        <v>0</v>
      </c>
    </row>
    <row r="47" spans="1:6" s="65" customFormat="1" ht="12.75">
      <c r="A47" s="67"/>
      <c r="B47" s="68"/>
      <c r="C47" s="36"/>
      <c r="D47" s="38"/>
      <c r="E47" s="94"/>
      <c r="F47" s="921"/>
    </row>
    <row r="48" spans="1:6" s="65" customFormat="1" ht="13.5" thickBot="1">
      <c r="A48" s="69"/>
      <c r="B48" s="70" t="s">
        <v>124</v>
      </c>
      <c r="C48" s="71"/>
      <c r="D48" s="72"/>
      <c r="E48" s="99"/>
      <c r="F48" s="928">
        <f>SUM(F28:F47)</f>
        <v>0</v>
      </c>
    </row>
    <row r="49" spans="1:6" s="65" customFormat="1" ht="16.5" thickTop="1">
      <c r="A49" s="56" t="s">
        <v>143</v>
      </c>
      <c r="B49" s="28" t="s">
        <v>142</v>
      </c>
      <c r="C49" s="62"/>
      <c r="D49" s="43"/>
      <c r="E49" s="96"/>
      <c r="F49" s="927"/>
    </row>
    <row r="50" spans="1:6" s="65" customFormat="1" ht="12.75">
      <c r="A50" s="74"/>
      <c r="B50" s="75"/>
      <c r="C50" s="76"/>
      <c r="D50" s="75"/>
      <c r="E50" s="100"/>
      <c r="F50" s="929"/>
    </row>
    <row r="51" spans="1:6" s="65" customFormat="1" ht="159.94999999999999" customHeight="1">
      <c r="A51" s="67" t="s">
        <v>89</v>
      </c>
      <c r="B51" s="35" t="s">
        <v>216</v>
      </c>
      <c r="C51" s="36" t="s">
        <v>100</v>
      </c>
      <c r="D51" s="38">
        <v>7</v>
      </c>
      <c r="E51" s="93"/>
      <c r="F51" s="920">
        <f>D51*E51</f>
        <v>0</v>
      </c>
    </row>
    <row r="52" spans="1:6" s="65" customFormat="1" ht="12.75">
      <c r="A52" s="69"/>
      <c r="B52" s="55"/>
      <c r="C52" s="77"/>
      <c r="D52" s="55"/>
      <c r="E52" s="101"/>
      <c r="F52" s="921"/>
    </row>
    <row r="53" spans="1:6" s="65" customFormat="1" ht="129.94999999999999" customHeight="1">
      <c r="A53" s="67" t="s">
        <v>91</v>
      </c>
      <c r="B53" s="35" t="s">
        <v>215</v>
      </c>
      <c r="C53" s="36" t="s">
        <v>100</v>
      </c>
      <c r="D53" s="38">
        <v>24</v>
      </c>
      <c r="E53" s="93"/>
      <c r="F53" s="920">
        <f>D53*E53</f>
        <v>0</v>
      </c>
    </row>
    <row r="54" spans="1:6" s="65" customFormat="1" ht="12.75">
      <c r="A54" s="69"/>
      <c r="B54" s="55"/>
      <c r="C54" s="77"/>
      <c r="D54" s="55"/>
      <c r="E54" s="101"/>
      <c r="F54" s="921"/>
    </row>
    <row r="55" spans="1:6" s="65" customFormat="1" ht="110.1" customHeight="1">
      <c r="A55" s="67" t="s">
        <v>94</v>
      </c>
      <c r="B55" s="35" t="s">
        <v>217</v>
      </c>
      <c r="C55" s="36" t="s">
        <v>100</v>
      </c>
      <c r="D55" s="38">
        <v>4.2</v>
      </c>
      <c r="E55" s="93"/>
      <c r="F55" s="920">
        <f>D55*E55</f>
        <v>0</v>
      </c>
    </row>
    <row r="56" spans="1:6" s="65" customFormat="1" ht="12.75">
      <c r="A56" s="69"/>
      <c r="B56" s="55"/>
      <c r="C56" s="77"/>
      <c r="D56" s="55"/>
      <c r="E56" s="101"/>
      <c r="F56" s="921"/>
    </row>
    <row r="57" spans="1:6" s="65" customFormat="1" ht="13.5" thickBot="1">
      <c r="A57" s="69"/>
      <c r="B57" s="70" t="s">
        <v>144</v>
      </c>
      <c r="C57" s="71"/>
      <c r="D57" s="72"/>
      <c r="E57" s="99"/>
      <c r="F57" s="928">
        <f>SUM(F50:F56)</f>
        <v>0</v>
      </c>
    </row>
    <row r="58" spans="1:6" ht="16.5" thickTop="1">
      <c r="A58" s="56" t="s">
        <v>15</v>
      </c>
      <c r="B58" s="57" t="s">
        <v>25</v>
      </c>
      <c r="C58" s="62"/>
      <c r="D58" s="43"/>
      <c r="E58" s="96"/>
      <c r="F58" s="927"/>
    </row>
    <row r="59" spans="1:6" s="75" customFormat="1" ht="12">
      <c r="A59" s="74"/>
      <c r="C59" s="76"/>
      <c r="E59" s="100"/>
      <c r="F59" s="929"/>
    </row>
    <row r="60" spans="1:6" ht="110.1" customHeight="1">
      <c r="A60" s="67" t="s">
        <v>89</v>
      </c>
      <c r="B60" s="68" t="s">
        <v>218</v>
      </c>
      <c r="C60" s="77" t="s">
        <v>100</v>
      </c>
      <c r="D60" s="38">
        <v>16.5</v>
      </c>
      <c r="E60" s="94"/>
      <c r="F60" s="921">
        <f>+D60*E60</f>
        <v>0</v>
      </c>
    </row>
    <row r="61" spans="1:6" s="75" customFormat="1" ht="12">
      <c r="A61" s="78"/>
      <c r="B61" s="79"/>
      <c r="C61" s="76"/>
      <c r="D61" s="80"/>
      <c r="E61" s="102"/>
      <c r="F61" s="929"/>
    </row>
    <row r="62" spans="1:6" ht="95.1" customHeight="1">
      <c r="A62" s="67" t="s">
        <v>91</v>
      </c>
      <c r="B62" s="68" t="s">
        <v>219</v>
      </c>
      <c r="C62" s="77" t="s">
        <v>100</v>
      </c>
      <c r="D62" s="38">
        <v>4.3</v>
      </c>
      <c r="E62" s="94"/>
      <c r="F62" s="921">
        <f>+D62*E62</f>
        <v>0</v>
      </c>
    </row>
    <row r="63" spans="1:6">
      <c r="C63" s="77"/>
      <c r="E63" s="94"/>
    </row>
    <row r="64" spans="1:6" ht="38.25">
      <c r="A64" s="67" t="s">
        <v>94</v>
      </c>
      <c r="B64" s="68" t="s">
        <v>220</v>
      </c>
      <c r="C64" s="77" t="s">
        <v>108</v>
      </c>
      <c r="D64" s="38">
        <v>7.3</v>
      </c>
      <c r="E64" s="94"/>
      <c r="F64" s="921">
        <f>+D64*E64</f>
        <v>0</v>
      </c>
    </row>
    <row r="65" spans="1:256">
      <c r="C65" s="77"/>
      <c r="E65" s="94"/>
    </row>
    <row r="66" spans="1:256" ht="38.25">
      <c r="A66" s="67" t="s">
        <v>96</v>
      </c>
      <c r="B66" s="68" t="s">
        <v>221</v>
      </c>
      <c r="C66" s="77" t="s">
        <v>108</v>
      </c>
      <c r="D66" s="38">
        <v>1</v>
      </c>
      <c r="E66" s="94"/>
      <c r="F66" s="921">
        <f>+D66*E66</f>
        <v>0</v>
      </c>
    </row>
    <row r="67" spans="1:256" s="85" customFormat="1" ht="11.25">
      <c r="A67" s="81"/>
      <c r="B67" s="82"/>
      <c r="C67" s="83"/>
      <c r="D67" s="84"/>
      <c r="E67" s="103"/>
      <c r="F67" s="930"/>
    </row>
    <row r="68" spans="1:256" ht="15" thickBot="1">
      <c r="A68" s="69"/>
      <c r="B68" s="70" t="s">
        <v>125</v>
      </c>
      <c r="C68" s="71"/>
      <c r="D68" s="72"/>
      <c r="E68" s="99"/>
      <c r="F68" s="928">
        <f>SUM(F59:F67)</f>
        <v>0</v>
      </c>
    </row>
    <row r="69" spans="1:256" ht="16.5" thickTop="1">
      <c r="A69" s="56" t="s">
        <v>17</v>
      </c>
      <c r="B69" s="57" t="s">
        <v>26</v>
      </c>
      <c r="C69" s="36"/>
      <c r="D69" s="32"/>
      <c r="E69" s="104"/>
      <c r="F69" s="931"/>
    </row>
    <row r="70" spans="1:256" s="55" customFormat="1" ht="12.75">
      <c r="A70" s="61"/>
      <c r="B70" s="73"/>
      <c r="C70" s="36"/>
      <c r="E70" s="101"/>
      <c r="F70" s="921"/>
    </row>
    <row r="71" spans="1:256" ht="95.1" customHeight="1">
      <c r="A71" s="67" t="s">
        <v>89</v>
      </c>
      <c r="B71" s="68" t="s">
        <v>222</v>
      </c>
      <c r="C71" s="77" t="s">
        <v>100</v>
      </c>
      <c r="D71" s="38">
        <v>18.899999999999999</v>
      </c>
      <c r="E71" s="94"/>
      <c r="F71" s="921">
        <f>+D71*E71</f>
        <v>0</v>
      </c>
    </row>
    <row r="72" spans="1:256" s="55" customFormat="1" ht="12.75">
      <c r="A72" s="61"/>
      <c r="B72" s="73"/>
      <c r="C72" s="36"/>
      <c r="D72" s="38"/>
      <c r="E72" s="101"/>
      <c r="F72" s="921"/>
    </row>
    <row r="73" spans="1:256" ht="15" thickBot="1">
      <c r="A73" s="61"/>
      <c r="B73" s="70" t="s">
        <v>126</v>
      </c>
      <c r="C73" s="71"/>
      <c r="D73" s="72"/>
      <c r="E73" s="99"/>
      <c r="F73" s="928">
        <f>SUM(F71:F72)</f>
        <v>0</v>
      </c>
    </row>
    <row r="74" spans="1:256" ht="16.5" thickTop="1">
      <c r="A74" s="56" t="s">
        <v>19</v>
      </c>
      <c r="B74" s="57" t="s">
        <v>27</v>
      </c>
      <c r="C74" s="36"/>
      <c r="E74" s="94"/>
    </row>
    <row r="75" spans="1:256" s="87" customFormat="1" ht="11.25">
      <c r="A75" s="90"/>
      <c r="B75" s="91"/>
      <c r="C75" s="92"/>
      <c r="D75" s="84"/>
      <c r="E75" s="103"/>
      <c r="F75" s="930"/>
      <c r="G75" s="85"/>
      <c r="H75" s="85"/>
      <c r="I75" s="85"/>
      <c r="J75" s="85"/>
      <c r="K75" s="85"/>
      <c r="L75" s="85"/>
      <c r="M75" s="85"/>
      <c r="N75" s="85"/>
      <c r="O75" s="85"/>
      <c r="P75" s="85"/>
      <c r="Q75" s="85"/>
      <c r="R75" s="85"/>
      <c r="S75" s="85"/>
      <c r="T75" s="85"/>
      <c r="U75" s="85"/>
      <c r="V75" s="85"/>
      <c r="W75" s="85"/>
      <c r="X75" s="85"/>
      <c r="Y75" s="85"/>
      <c r="Z75" s="85"/>
      <c r="AA75" s="85"/>
      <c r="AB75" s="85"/>
      <c r="AC75" s="85"/>
      <c r="AD75" s="85"/>
      <c r="AE75" s="85"/>
      <c r="AF75" s="85"/>
      <c r="AG75" s="85"/>
      <c r="AH75" s="85"/>
      <c r="AI75" s="85"/>
      <c r="AJ75" s="85"/>
      <c r="AK75" s="85"/>
      <c r="AL75" s="85"/>
      <c r="AM75" s="85"/>
      <c r="AN75" s="85"/>
      <c r="AO75" s="85"/>
      <c r="AP75" s="85"/>
      <c r="AQ75" s="85"/>
      <c r="AR75" s="85"/>
      <c r="AS75" s="85"/>
      <c r="AT75" s="85"/>
      <c r="AU75" s="85"/>
      <c r="AV75" s="85"/>
      <c r="AW75" s="85"/>
      <c r="AX75" s="85"/>
      <c r="AY75" s="85"/>
      <c r="AZ75" s="85"/>
      <c r="BA75" s="85"/>
      <c r="BB75" s="85"/>
      <c r="BC75" s="85"/>
      <c r="BD75" s="85"/>
      <c r="BE75" s="85"/>
      <c r="BF75" s="85"/>
      <c r="BG75" s="85"/>
      <c r="BH75" s="85"/>
      <c r="BI75" s="85"/>
      <c r="BJ75" s="85"/>
      <c r="BK75" s="85"/>
      <c r="BL75" s="85"/>
      <c r="BM75" s="85"/>
      <c r="BN75" s="85"/>
      <c r="BO75" s="85"/>
      <c r="BP75" s="85"/>
      <c r="BQ75" s="85"/>
      <c r="BR75" s="85"/>
      <c r="BS75" s="85"/>
      <c r="BT75" s="85"/>
      <c r="BU75" s="85"/>
      <c r="BV75" s="85"/>
      <c r="BW75" s="85"/>
      <c r="BX75" s="85"/>
      <c r="BY75" s="85"/>
      <c r="BZ75" s="85"/>
      <c r="CA75" s="85"/>
      <c r="CB75" s="85"/>
      <c r="CC75" s="85"/>
      <c r="CD75" s="85"/>
      <c r="CE75" s="85"/>
      <c r="CF75" s="85"/>
      <c r="CG75" s="85"/>
      <c r="CH75" s="85"/>
      <c r="CI75" s="85"/>
      <c r="CJ75" s="85"/>
      <c r="CK75" s="85"/>
      <c r="CL75" s="85"/>
      <c r="CM75" s="85"/>
      <c r="CN75" s="85"/>
      <c r="CO75" s="85"/>
      <c r="CP75" s="85"/>
      <c r="CQ75" s="85"/>
      <c r="CR75" s="85"/>
      <c r="CS75" s="85"/>
      <c r="CT75" s="85"/>
      <c r="CU75" s="85"/>
      <c r="CV75" s="85"/>
      <c r="CW75" s="85"/>
      <c r="CX75" s="85"/>
      <c r="CY75" s="85"/>
      <c r="CZ75" s="85"/>
      <c r="DA75" s="85"/>
      <c r="DB75" s="85"/>
      <c r="DC75" s="85"/>
      <c r="DD75" s="85"/>
      <c r="DE75" s="85"/>
      <c r="DF75" s="85"/>
      <c r="DG75" s="85"/>
      <c r="DH75" s="85"/>
      <c r="DI75" s="85"/>
      <c r="DJ75" s="85"/>
      <c r="DK75" s="85"/>
      <c r="DL75" s="85"/>
      <c r="DM75" s="85"/>
      <c r="DN75" s="85"/>
      <c r="DO75" s="85"/>
      <c r="DP75" s="85"/>
      <c r="DQ75" s="85"/>
      <c r="DR75" s="85"/>
      <c r="DS75" s="85"/>
      <c r="DT75" s="85"/>
      <c r="DU75" s="85"/>
      <c r="DV75" s="85"/>
      <c r="DW75" s="85"/>
      <c r="DX75" s="85"/>
      <c r="DY75" s="85"/>
      <c r="DZ75" s="85"/>
      <c r="EA75" s="85"/>
      <c r="EB75" s="85"/>
      <c r="EC75" s="85"/>
      <c r="ED75" s="85"/>
      <c r="EE75" s="85"/>
      <c r="EF75" s="85"/>
      <c r="EG75" s="85"/>
      <c r="EH75" s="85"/>
      <c r="EI75" s="85"/>
      <c r="EJ75" s="85"/>
      <c r="EK75" s="85"/>
      <c r="EL75" s="85"/>
      <c r="EM75" s="85"/>
      <c r="EN75" s="85"/>
      <c r="EO75" s="85"/>
      <c r="EP75" s="85"/>
      <c r="EQ75" s="85"/>
      <c r="ER75" s="85"/>
      <c r="ES75" s="85"/>
      <c r="ET75" s="85"/>
      <c r="EU75" s="85"/>
      <c r="EV75" s="85"/>
      <c r="EW75" s="85"/>
      <c r="EX75" s="85"/>
      <c r="EY75" s="85"/>
      <c r="EZ75" s="85"/>
      <c r="FA75" s="85"/>
      <c r="FB75" s="85"/>
      <c r="FC75" s="85"/>
      <c r="FD75" s="85"/>
      <c r="FE75" s="85"/>
      <c r="FF75" s="85"/>
      <c r="FG75" s="85"/>
      <c r="FH75" s="85"/>
      <c r="FI75" s="85"/>
      <c r="FJ75" s="85"/>
      <c r="FK75" s="85"/>
      <c r="FL75" s="85"/>
      <c r="FM75" s="85"/>
      <c r="FN75" s="85"/>
      <c r="FO75" s="85"/>
      <c r="FP75" s="85"/>
      <c r="FQ75" s="85"/>
      <c r="FR75" s="85"/>
      <c r="FS75" s="85"/>
      <c r="FT75" s="85"/>
      <c r="FU75" s="85"/>
      <c r="FV75" s="85"/>
      <c r="FW75" s="85"/>
      <c r="FX75" s="85"/>
      <c r="FY75" s="85"/>
      <c r="FZ75" s="85"/>
      <c r="GA75" s="85"/>
      <c r="GB75" s="85"/>
      <c r="GC75" s="85"/>
      <c r="GD75" s="85"/>
      <c r="GE75" s="85"/>
      <c r="GF75" s="85"/>
      <c r="GG75" s="85"/>
      <c r="GH75" s="85"/>
      <c r="GI75" s="85"/>
      <c r="GJ75" s="85"/>
      <c r="GK75" s="85"/>
      <c r="GL75" s="85"/>
      <c r="GM75" s="85"/>
      <c r="GN75" s="85"/>
      <c r="GO75" s="85"/>
      <c r="GP75" s="85"/>
      <c r="GQ75" s="85"/>
      <c r="GR75" s="85"/>
      <c r="GS75" s="85"/>
      <c r="GT75" s="85"/>
      <c r="GU75" s="85"/>
      <c r="GV75" s="85"/>
      <c r="GW75" s="85"/>
      <c r="GX75" s="85"/>
      <c r="GY75" s="85"/>
      <c r="GZ75" s="85"/>
      <c r="HA75" s="85"/>
      <c r="HB75" s="85"/>
      <c r="HC75" s="85"/>
      <c r="HD75" s="85"/>
      <c r="HE75" s="85"/>
      <c r="HF75" s="85"/>
      <c r="HG75" s="85"/>
      <c r="HH75" s="85"/>
      <c r="HI75" s="85"/>
      <c r="HJ75" s="85"/>
      <c r="HK75" s="85"/>
      <c r="HL75" s="85"/>
      <c r="HM75" s="85"/>
      <c r="HN75" s="85"/>
      <c r="HO75" s="85"/>
      <c r="HP75" s="85"/>
      <c r="HQ75" s="85"/>
      <c r="HR75" s="85"/>
      <c r="HS75" s="85"/>
      <c r="HT75" s="85"/>
      <c r="HU75" s="85"/>
      <c r="HV75" s="85"/>
      <c r="HW75" s="85"/>
      <c r="HX75" s="85"/>
      <c r="HY75" s="85"/>
      <c r="HZ75" s="85"/>
      <c r="IA75" s="85"/>
      <c r="IB75" s="85"/>
      <c r="IC75" s="85"/>
      <c r="ID75" s="85"/>
      <c r="IE75" s="85"/>
      <c r="IF75" s="85"/>
      <c r="IG75" s="85"/>
      <c r="IH75" s="85"/>
      <c r="II75" s="85"/>
      <c r="IJ75" s="85"/>
      <c r="IK75" s="85"/>
      <c r="IL75" s="85"/>
      <c r="IM75" s="85"/>
      <c r="IN75" s="85"/>
      <c r="IO75" s="85"/>
      <c r="IP75" s="85"/>
      <c r="IQ75" s="85"/>
      <c r="IR75" s="85"/>
      <c r="IS75" s="85"/>
      <c r="IT75" s="85"/>
      <c r="IU75" s="85"/>
      <c r="IV75" s="85"/>
    </row>
    <row r="76" spans="1:256" s="55" customFormat="1" ht="25.5">
      <c r="A76" s="86" t="s">
        <v>89</v>
      </c>
      <c r="B76" s="68" t="s">
        <v>227</v>
      </c>
      <c r="C76" s="77"/>
      <c r="D76" s="38"/>
      <c r="E76" s="94"/>
      <c r="F76" s="921"/>
    </row>
    <row r="77" spans="1:256" s="55" customFormat="1" ht="127.5">
      <c r="A77" s="86" t="s">
        <v>129</v>
      </c>
      <c r="B77" s="68" t="s">
        <v>223</v>
      </c>
      <c r="C77" s="77" t="s">
        <v>113</v>
      </c>
      <c r="D77" s="38">
        <v>1</v>
      </c>
      <c r="E77" s="94"/>
      <c r="F77" s="921">
        <f t="shared" ref="F77:F79" si="2">+D77*E77</f>
        <v>0</v>
      </c>
    </row>
    <row r="78" spans="1:256" s="55" customFormat="1" ht="120" customHeight="1">
      <c r="A78" s="86" t="s">
        <v>130</v>
      </c>
      <c r="B78" s="68" t="s">
        <v>224</v>
      </c>
      <c r="C78" s="77" t="s">
        <v>113</v>
      </c>
      <c r="D78" s="38">
        <v>2</v>
      </c>
      <c r="E78" s="94"/>
      <c r="F78" s="921">
        <f t="shared" si="2"/>
        <v>0</v>
      </c>
    </row>
    <row r="79" spans="1:256" s="55" customFormat="1" ht="120" customHeight="1">
      <c r="A79" s="86" t="s">
        <v>138</v>
      </c>
      <c r="B79" s="68" t="s">
        <v>241</v>
      </c>
      <c r="C79" s="77" t="s">
        <v>113</v>
      </c>
      <c r="D79" s="38">
        <v>1</v>
      </c>
      <c r="E79" s="94"/>
      <c r="F79" s="921">
        <f t="shared" si="2"/>
        <v>0</v>
      </c>
    </row>
    <row r="80" spans="1:256" s="55" customFormat="1" ht="12.75">
      <c r="A80" s="86"/>
      <c r="B80" s="68"/>
      <c r="C80" s="77"/>
      <c r="D80" s="38"/>
      <c r="E80" s="94"/>
      <c r="F80" s="921"/>
    </row>
    <row r="81" spans="1:256" s="88" customFormat="1" ht="13.5" thickBot="1">
      <c r="A81" s="69"/>
      <c r="B81" s="70" t="s">
        <v>127</v>
      </c>
      <c r="C81" s="71"/>
      <c r="D81" s="72"/>
      <c r="E81" s="99"/>
      <c r="F81" s="928">
        <f>SUM(F76:F79)</f>
        <v>0</v>
      </c>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c r="BM81" s="55"/>
      <c r="BN81" s="55"/>
      <c r="BO81" s="55"/>
      <c r="BP81" s="55"/>
      <c r="BQ81" s="55"/>
      <c r="BR81" s="55"/>
      <c r="BS81" s="55"/>
      <c r="BT81" s="55"/>
      <c r="BU81" s="55"/>
      <c r="BV81" s="55"/>
      <c r="BW81" s="55"/>
      <c r="BX81" s="55"/>
      <c r="BY81" s="55"/>
      <c r="BZ81" s="55"/>
      <c r="CA81" s="55"/>
      <c r="CB81" s="55"/>
      <c r="CC81" s="55"/>
      <c r="CD81" s="55"/>
      <c r="CE81" s="55"/>
      <c r="CF81" s="55"/>
      <c r="CG81" s="55"/>
      <c r="CH81" s="55"/>
      <c r="CI81" s="55"/>
      <c r="CJ81" s="55"/>
      <c r="CK81" s="55"/>
      <c r="CL81" s="55"/>
      <c r="CM81" s="55"/>
      <c r="CN81" s="55"/>
      <c r="CO81" s="55"/>
      <c r="CP81" s="55"/>
      <c r="CQ81" s="55"/>
      <c r="CR81" s="55"/>
      <c r="CS81" s="55"/>
      <c r="CT81" s="55"/>
      <c r="CU81" s="55"/>
      <c r="CV81" s="55"/>
      <c r="CW81" s="55"/>
      <c r="CX81" s="55"/>
      <c r="CY81" s="55"/>
      <c r="CZ81" s="55"/>
      <c r="DA81" s="55"/>
      <c r="DB81" s="55"/>
      <c r="DC81" s="55"/>
      <c r="DD81" s="55"/>
      <c r="DE81" s="55"/>
      <c r="DF81" s="55"/>
      <c r="DG81" s="55"/>
      <c r="DH81" s="55"/>
      <c r="DI81" s="55"/>
      <c r="DJ81" s="55"/>
      <c r="DK81" s="55"/>
      <c r="DL81" s="55"/>
      <c r="DM81" s="55"/>
      <c r="DN81" s="55"/>
      <c r="DO81" s="55"/>
      <c r="DP81" s="55"/>
      <c r="DQ81" s="55"/>
      <c r="DR81" s="55"/>
      <c r="DS81" s="55"/>
      <c r="DT81" s="55"/>
      <c r="DU81" s="55"/>
      <c r="DV81" s="55"/>
      <c r="DW81" s="55"/>
      <c r="DX81" s="55"/>
      <c r="DY81" s="55"/>
      <c r="DZ81" s="55"/>
      <c r="EA81" s="55"/>
      <c r="EB81" s="55"/>
      <c r="EC81" s="55"/>
      <c r="ED81" s="55"/>
      <c r="EE81" s="55"/>
      <c r="EF81" s="55"/>
      <c r="EG81" s="55"/>
      <c r="EH81" s="55"/>
      <c r="EI81" s="55"/>
      <c r="EJ81" s="55"/>
      <c r="EK81" s="55"/>
      <c r="EL81" s="55"/>
      <c r="EM81" s="55"/>
      <c r="EN81" s="55"/>
      <c r="EO81" s="55"/>
      <c r="EP81" s="55"/>
      <c r="EQ81" s="55"/>
      <c r="ER81" s="55"/>
      <c r="ES81" s="55"/>
      <c r="ET81" s="55"/>
      <c r="EU81" s="55"/>
      <c r="EV81" s="55"/>
      <c r="EW81" s="55"/>
      <c r="EX81" s="55"/>
      <c r="EY81" s="55"/>
      <c r="EZ81" s="55"/>
      <c r="FA81" s="55"/>
      <c r="FB81" s="55"/>
      <c r="FC81" s="55"/>
      <c r="FD81" s="55"/>
      <c r="FE81" s="55"/>
      <c r="FF81" s="55"/>
      <c r="FG81" s="55"/>
      <c r="FH81" s="55"/>
      <c r="FI81" s="55"/>
      <c r="FJ81" s="55"/>
      <c r="FK81" s="55"/>
      <c r="FL81" s="55"/>
      <c r="FM81" s="55"/>
      <c r="FN81" s="55"/>
      <c r="FO81" s="55"/>
      <c r="FP81" s="55"/>
      <c r="FQ81" s="55"/>
      <c r="FR81" s="55"/>
      <c r="FS81" s="55"/>
      <c r="FT81" s="55"/>
      <c r="FU81" s="55"/>
      <c r="FV81" s="55"/>
      <c r="FW81" s="55"/>
      <c r="FX81" s="55"/>
      <c r="FY81" s="55"/>
      <c r="FZ81" s="55"/>
      <c r="GA81" s="55"/>
      <c r="GB81" s="55"/>
      <c r="GC81" s="55"/>
      <c r="GD81" s="55"/>
      <c r="GE81" s="55"/>
      <c r="GF81" s="55"/>
      <c r="GG81" s="55"/>
      <c r="GH81" s="55"/>
      <c r="GI81" s="55"/>
      <c r="GJ81" s="55"/>
      <c r="GK81" s="55"/>
      <c r="GL81" s="55"/>
      <c r="GM81" s="55"/>
      <c r="GN81" s="55"/>
      <c r="GO81" s="55"/>
      <c r="GP81" s="55"/>
      <c r="GQ81" s="55"/>
      <c r="GR81" s="55"/>
      <c r="GS81" s="55"/>
      <c r="GT81" s="55"/>
      <c r="GU81" s="55"/>
      <c r="GV81" s="55"/>
      <c r="GW81" s="55"/>
      <c r="GX81" s="55"/>
      <c r="GY81" s="55"/>
      <c r="GZ81" s="55"/>
      <c r="HA81" s="55"/>
      <c r="HB81" s="55"/>
      <c r="HC81" s="55"/>
      <c r="HD81" s="55"/>
      <c r="HE81" s="55"/>
      <c r="HF81" s="55"/>
      <c r="HG81" s="55"/>
      <c r="HH81" s="55"/>
      <c r="HI81" s="55"/>
      <c r="HJ81" s="55"/>
      <c r="HK81" s="55"/>
      <c r="HL81" s="55"/>
      <c r="HM81" s="55"/>
      <c r="HN81" s="55"/>
      <c r="HO81" s="55"/>
      <c r="HP81" s="55"/>
      <c r="HQ81" s="55"/>
      <c r="HR81" s="55"/>
      <c r="HS81" s="55"/>
      <c r="HT81" s="55"/>
      <c r="HU81" s="55"/>
      <c r="HV81" s="55"/>
      <c r="HW81" s="55"/>
      <c r="HX81" s="55"/>
      <c r="HY81" s="55"/>
      <c r="HZ81" s="55"/>
      <c r="IA81" s="55"/>
      <c r="IB81" s="55"/>
      <c r="IC81" s="55"/>
      <c r="ID81" s="55"/>
      <c r="IE81" s="55"/>
      <c r="IF81" s="55"/>
      <c r="IG81" s="55"/>
      <c r="IH81" s="55"/>
      <c r="II81" s="55"/>
      <c r="IJ81" s="55"/>
      <c r="IK81" s="55"/>
      <c r="IL81" s="55"/>
      <c r="IM81" s="55"/>
      <c r="IN81" s="55"/>
      <c r="IO81" s="55"/>
      <c r="IP81" s="55"/>
      <c r="IQ81" s="55"/>
      <c r="IR81" s="55"/>
      <c r="IS81" s="55"/>
      <c r="IT81" s="55"/>
      <c r="IU81" s="55"/>
      <c r="IV81" s="55"/>
    </row>
    <row r="82" spans="1:256" ht="16.5" thickTop="1">
      <c r="A82" s="56" t="s">
        <v>20</v>
      </c>
      <c r="B82" s="57" t="s">
        <v>225</v>
      </c>
      <c r="C82" s="36"/>
      <c r="E82" s="94"/>
    </row>
    <row r="83" spans="1:256">
      <c r="A83" s="90"/>
      <c r="B83" s="91"/>
      <c r="C83" s="92"/>
      <c r="D83" s="84"/>
      <c r="E83" s="103"/>
      <c r="F83" s="930"/>
    </row>
    <row r="84" spans="1:256" ht="25.5">
      <c r="A84" s="86" t="s">
        <v>89</v>
      </c>
      <c r="B84" s="68" t="s">
        <v>226</v>
      </c>
      <c r="C84" s="77"/>
      <c r="E84" s="94"/>
    </row>
    <row r="85" spans="1:256" ht="140.1" customHeight="1">
      <c r="A85" s="86" t="s">
        <v>129</v>
      </c>
      <c r="B85" s="68" t="s">
        <v>228</v>
      </c>
      <c r="C85" s="77"/>
      <c r="E85" s="94"/>
    </row>
    <row r="86" spans="1:256">
      <c r="A86" s="86" t="s">
        <v>136</v>
      </c>
      <c r="B86" s="68" t="s">
        <v>229</v>
      </c>
      <c r="C86" s="77" t="s">
        <v>113</v>
      </c>
      <c r="D86" s="38">
        <v>1</v>
      </c>
      <c r="E86" s="94"/>
      <c r="F86" s="921">
        <f t="shared" ref="F86:F87" si="3">+D86*E86</f>
        <v>0</v>
      </c>
    </row>
    <row r="87" spans="1:256">
      <c r="A87" s="86" t="s">
        <v>137</v>
      </c>
      <c r="B87" s="68" t="s">
        <v>230</v>
      </c>
      <c r="C87" s="77" t="s">
        <v>113</v>
      </c>
      <c r="D87" s="38">
        <v>1</v>
      </c>
      <c r="E87" s="94"/>
      <c r="F87" s="921">
        <f t="shared" si="3"/>
        <v>0</v>
      </c>
    </row>
    <row r="88" spans="1:256" ht="25.5">
      <c r="A88" s="86" t="s">
        <v>232</v>
      </c>
      <c r="B88" s="68" t="s">
        <v>231</v>
      </c>
      <c r="C88" s="77" t="s">
        <v>113</v>
      </c>
      <c r="D88" s="38">
        <v>1</v>
      </c>
      <c r="E88" s="94"/>
      <c r="F88" s="921">
        <f t="shared" ref="F88:F94" si="4">+D88*E88</f>
        <v>0</v>
      </c>
    </row>
    <row r="89" spans="1:256" ht="38.25">
      <c r="A89" s="86" t="s">
        <v>130</v>
      </c>
      <c r="B89" s="68" t="s">
        <v>233</v>
      </c>
      <c r="C89" s="77" t="s">
        <v>108</v>
      </c>
      <c r="D89" s="38">
        <v>11.5</v>
      </c>
      <c r="E89" s="94"/>
      <c r="F89" s="921">
        <f t="shared" si="4"/>
        <v>0</v>
      </c>
    </row>
    <row r="90" spans="1:256" ht="38.25">
      <c r="A90" s="86" t="s">
        <v>138</v>
      </c>
      <c r="B90" s="68" t="s">
        <v>236</v>
      </c>
      <c r="C90" s="77" t="s">
        <v>113</v>
      </c>
      <c r="D90" s="38">
        <v>1</v>
      </c>
      <c r="E90" s="94"/>
      <c r="F90" s="921">
        <f t="shared" si="4"/>
        <v>0</v>
      </c>
    </row>
    <row r="91" spans="1:256" ht="38.25">
      <c r="A91" s="86" t="s">
        <v>139</v>
      </c>
      <c r="B91" s="68" t="s">
        <v>237</v>
      </c>
      <c r="C91" s="77" t="s">
        <v>113</v>
      </c>
      <c r="D91" s="38">
        <v>12</v>
      </c>
      <c r="E91" s="94"/>
      <c r="F91" s="921">
        <f t="shared" si="4"/>
        <v>0</v>
      </c>
    </row>
    <row r="92" spans="1:256" ht="51">
      <c r="A92" s="86" t="s">
        <v>146</v>
      </c>
      <c r="B92" s="68" t="s">
        <v>238</v>
      </c>
      <c r="C92" s="77" t="s">
        <v>113</v>
      </c>
      <c r="D92" s="38">
        <v>4</v>
      </c>
      <c r="E92" s="94"/>
      <c r="F92" s="921">
        <f t="shared" si="4"/>
        <v>0</v>
      </c>
    </row>
    <row r="93" spans="1:256" ht="25.5">
      <c r="A93" s="86" t="s">
        <v>147</v>
      </c>
      <c r="B93" s="68" t="s">
        <v>239</v>
      </c>
      <c r="C93" s="77" t="s">
        <v>113</v>
      </c>
      <c r="D93" s="38">
        <v>2</v>
      </c>
      <c r="E93" s="94"/>
      <c r="F93" s="921">
        <f t="shared" si="4"/>
        <v>0</v>
      </c>
    </row>
    <row r="94" spans="1:256" ht="38.25">
      <c r="A94" s="86" t="s">
        <v>148</v>
      </c>
      <c r="B94" s="68" t="s">
        <v>240</v>
      </c>
      <c r="C94" s="77" t="s">
        <v>113</v>
      </c>
      <c r="D94" s="38">
        <v>1</v>
      </c>
      <c r="E94" s="94"/>
      <c r="F94" s="921">
        <f t="shared" si="4"/>
        <v>0</v>
      </c>
    </row>
    <row r="95" spans="1:256">
      <c r="A95" s="86"/>
      <c r="C95" s="77"/>
      <c r="E95" s="94"/>
    </row>
    <row r="96" spans="1:256" ht="15" thickBot="1">
      <c r="A96" s="69"/>
      <c r="B96" s="70" t="s">
        <v>234</v>
      </c>
      <c r="C96" s="71"/>
      <c r="D96" s="72"/>
      <c r="E96" s="99"/>
      <c r="F96" s="928">
        <f>SUM(F85:F95)</f>
        <v>0</v>
      </c>
    </row>
    <row r="97" ht="15" thickTop="1"/>
  </sheetData>
  <sheetProtection formatCells="0" formatColumns="0" formatRows="0"/>
  <pageMargins left="0.7" right="0.7" top="0.75" bottom="0.75" header="0.3" footer="0.3"/>
  <pageSetup paperSize="9" scale="95" fitToHeight="0" pageOrder="overThenDown" orientation="portrait" r:id="rId1"/>
  <headerFooter alignWithMargins="0">
    <oddFooter>&amp;C&amp;10Stran &amp;P od &amp;N</oddFooter>
  </headerFooter>
  <rowBreaks count="6" manualBreakCount="6">
    <brk id="25" max="16383" man="1"/>
    <brk id="48" max="16383" man="1"/>
    <brk id="57" man="1"/>
    <brk id="68" man="1"/>
    <brk id="73" man="1"/>
    <brk id="8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4"/>
  <sheetViews>
    <sheetView view="pageBreakPreview" topLeftCell="B1" zoomScale="120" zoomScaleNormal="120" zoomScaleSheetLayoutView="120" workbookViewId="0">
      <selection activeCell="B4" sqref="B4"/>
    </sheetView>
  </sheetViews>
  <sheetFormatPr defaultColWidth="8" defaultRowHeight="11.25"/>
  <cols>
    <col min="1" max="1" width="5.375" style="112" customWidth="1"/>
    <col min="2" max="2" width="32.5" style="111" customWidth="1"/>
    <col min="3" max="3" width="12.5" style="906" customWidth="1"/>
    <col min="4" max="6" width="9" style="109" customWidth="1"/>
    <col min="7" max="16384" width="8" style="109"/>
  </cols>
  <sheetData>
    <row r="1" spans="1:4" s="129" customFormat="1" ht="20.100000000000001" customHeight="1">
      <c r="A1" s="131" t="s">
        <v>242</v>
      </c>
      <c r="B1" s="130" t="s">
        <v>243</v>
      </c>
      <c r="C1" s="895" t="s">
        <v>244</v>
      </c>
    </row>
    <row r="2" spans="1:4" s="118" customFormat="1" ht="15.95" customHeight="1">
      <c r="A2" s="128"/>
      <c r="B2" s="127"/>
      <c r="C2" s="896"/>
      <c r="D2" s="126"/>
    </row>
    <row r="3" spans="1:4" s="118" customFormat="1" ht="12.75">
      <c r="A3" s="105" t="s">
        <v>89</v>
      </c>
      <c r="B3" s="106" t="s">
        <v>245</v>
      </c>
      <c r="C3" s="897">
        <f>'ZUNANJA UREDITEV'!F67</f>
        <v>0</v>
      </c>
    </row>
    <row r="4" spans="1:4" s="118" customFormat="1" ht="12.75">
      <c r="A4" s="105" t="s">
        <v>91</v>
      </c>
      <c r="B4" s="106" t="s">
        <v>12</v>
      </c>
      <c r="C4" s="897">
        <f>'ZUNANJA UREDITEV'!F148</f>
        <v>0</v>
      </c>
    </row>
    <row r="5" spans="1:4" s="118" customFormat="1" ht="12.75">
      <c r="A5" s="105" t="s">
        <v>94</v>
      </c>
      <c r="B5" s="106" t="s">
        <v>246</v>
      </c>
      <c r="C5" s="897">
        <f>'ZUNANJA UREDITEV'!F230</f>
        <v>0</v>
      </c>
    </row>
    <row r="6" spans="1:4" s="118" customFormat="1" ht="12.75" hidden="1">
      <c r="A6" s="105" t="s">
        <v>96</v>
      </c>
      <c r="B6" s="106" t="s">
        <v>247</v>
      </c>
      <c r="C6" s="897">
        <v>0</v>
      </c>
    </row>
    <row r="7" spans="1:4" s="118" customFormat="1" ht="12.75">
      <c r="A7" s="105" t="s">
        <v>101</v>
      </c>
      <c r="B7" s="106" t="s">
        <v>248</v>
      </c>
      <c r="C7" s="897">
        <f>'ZUNANJA UREDITEV'!F711</f>
        <v>0</v>
      </c>
    </row>
    <row r="8" spans="1:4" s="118" customFormat="1" ht="12.75">
      <c r="A8" s="105" t="s">
        <v>102</v>
      </c>
      <c r="B8" s="106" t="s">
        <v>249</v>
      </c>
      <c r="C8" s="897">
        <f>'ZUNANJA UREDITEV'!F753</f>
        <v>0</v>
      </c>
    </row>
    <row r="9" spans="1:4" s="118" customFormat="1" ht="12.75">
      <c r="A9" s="105" t="s">
        <v>103</v>
      </c>
      <c r="B9" s="106" t="s">
        <v>250</v>
      </c>
      <c r="C9" s="897">
        <f>'ZUNANJA UREDITEV'!F861</f>
        <v>0</v>
      </c>
    </row>
    <row r="10" spans="1:4" s="118" customFormat="1" ht="15.95" customHeight="1">
      <c r="A10" s="105"/>
      <c r="B10" s="106"/>
      <c r="C10" s="896"/>
    </row>
    <row r="11" spans="1:4" s="118" customFormat="1" ht="15.95" customHeight="1">
      <c r="A11" s="107"/>
      <c r="B11" s="108" t="s">
        <v>251</v>
      </c>
      <c r="C11" s="898">
        <f>SUM(C3:C9)</f>
        <v>0</v>
      </c>
    </row>
    <row r="12" spans="1:4" s="118" customFormat="1" ht="15.75">
      <c r="A12" s="124"/>
      <c r="B12" s="125"/>
      <c r="C12" s="899"/>
    </row>
    <row r="13" spans="1:4" s="118" customFormat="1" ht="15.95" customHeight="1">
      <c r="A13" s="124"/>
      <c r="B13" s="123" t="s">
        <v>252</v>
      </c>
      <c r="C13" s="900">
        <f>C11*0.22</f>
        <v>0</v>
      </c>
    </row>
    <row r="14" spans="1:4" s="118" customFormat="1" ht="15.95" customHeight="1">
      <c r="A14" s="122"/>
      <c r="B14" s="121" t="s">
        <v>251</v>
      </c>
      <c r="C14" s="901">
        <f>SUM(C13,C11)</f>
        <v>0</v>
      </c>
    </row>
    <row r="15" spans="1:4" s="118" customFormat="1">
      <c r="A15" s="120"/>
      <c r="B15" s="119"/>
      <c r="C15" s="902"/>
    </row>
    <row r="16" spans="1:4" s="118" customFormat="1">
      <c r="A16" s="120"/>
      <c r="B16" s="119"/>
      <c r="C16" s="903"/>
    </row>
    <row r="17" spans="1:3" s="118" customFormat="1">
      <c r="A17" s="120"/>
      <c r="B17" s="119"/>
      <c r="C17" s="903"/>
    </row>
    <row r="18" spans="1:3" s="118" customFormat="1">
      <c r="A18" s="120"/>
      <c r="B18" s="119"/>
      <c r="C18" s="903"/>
    </row>
    <row r="19" spans="1:3" s="118" customFormat="1">
      <c r="A19" s="120"/>
      <c r="B19" s="119"/>
      <c r="C19" s="903"/>
    </row>
    <row r="20" spans="1:3" s="118" customFormat="1">
      <c r="A20" s="120"/>
      <c r="B20" s="119"/>
      <c r="C20" s="903"/>
    </row>
    <row r="21" spans="1:3" s="118" customFormat="1">
      <c r="A21" s="120"/>
      <c r="B21" s="119"/>
      <c r="C21" s="903"/>
    </row>
    <row r="22" spans="1:3" s="118" customFormat="1">
      <c r="A22" s="120"/>
      <c r="B22" s="119"/>
      <c r="C22" s="903"/>
    </row>
    <row r="23" spans="1:3" s="115" customFormat="1">
      <c r="A23" s="117"/>
      <c r="B23" s="116"/>
      <c r="C23" s="904"/>
    </row>
    <row r="24" spans="1:3" s="115" customFormat="1">
      <c r="A24" s="117"/>
      <c r="B24" s="116"/>
      <c r="C24" s="904"/>
    </row>
    <row r="25" spans="1:3" s="115" customFormat="1">
      <c r="A25" s="117"/>
      <c r="B25" s="116"/>
      <c r="C25" s="904"/>
    </row>
    <row r="26" spans="1:3" s="115" customFormat="1">
      <c r="A26" s="117"/>
      <c r="B26" s="116"/>
      <c r="C26" s="904"/>
    </row>
    <row r="27" spans="1:3" s="115" customFormat="1">
      <c r="A27" s="117"/>
      <c r="B27" s="116"/>
      <c r="C27" s="904"/>
    </row>
    <row r="28" spans="1:3" s="115" customFormat="1">
      <c r="A28" s="117"/>
      <c r="B28" s="116"/>
      <c r="C28" s="904"/>
    </row>
    <row r="29" spans="1:3" s="115" customFormat="1">
      <c r="A29" s="117"/>
      <c r="B29" s="116"/>
      <c r="C29" s="904"/>
    </row>
    <row r="30" spans="1:3" s="115" customFormat="1">
      <c r="A30" s="117"/>
      <c r="B30" s="116"/>
      <c r="C30" s="904"/>
    </row>
    <row r="31" spans="1:3" s="115" customFormat="1">
      <c r="A31" s="117"/>
      <c r="B31" s="116"/>
      <c r="C31" s="904"/>
    </row>
    <row r="32" spans="1:3" s="115" customFormat="1">
      <c r="A32" s="117"/>
      <c r="B32" s="116"/>
      <c r="C32" s="904"/>
    </row>
    <row r="33" spans="1:4" s="115" customFormat="1">
      <c r="A33" s="117"/>
      <c r="B33" s="116"/>
      <c r="C33" s="904"/>
    </row>
    <row r="34" spans="1:4" s="115" customFormat="1">
      <c r="A34" s="117"/>
      <c r="B34" s="116"/>
      <c r="C34" s="904"/>
    </row>
    <row r="35" spans="1:4" s="115" customFormat="1">
      <c r="A35" s="117"/>
      <c r="B35" s="116"/>
      <c r="C35" s="904"/>
    </row>
    <row r="36" spans="1:4">
      <c r="A36" s="117"/>
      <c r="B36" s="116"/>
      <c r="C36" s="904"/>
      <c r="D36" s="115"/>
    </row>
    <row r="37" spans="1:4">
      <c r="A37" s="114"/>
      <c r="B37" s="113"/>
      <c r="C37" s="905"/>
    </row>
    <row r="38" spans="1:4">
      <c r="A38" s="114"/>
      <c r="B38" s="113"/>
      <c r="C38" s="905"/>
    </row>
    <row r="39" spans="1:4">
      <c r="A39" s="114"/>
      <c r="B39" s="113"/>
      <c r="C39" s="905"/>
    </row>
    <row r="40" spans="1:4">
      <c r="A40" s="114"/>
      <c r="B40" s="113"/>
      <c r="C40" s="905"/>
    </row>
    <row r="41" spans="1:4">
      <c r="A41" s="114"/>
      <c r="B41" s="113"/>
      <c r="C41" s="905"/>
    </row>
    <row r="42" spans="1:4">
      <c r="A42" s="114"/>
      <c r="B42" s="113"/>
      <c r="C42" s="905"/>
    </row>
    <row r="43" spans="1:4">
      <c r="A43" s="114"/>
      <c r="B43" s="113"/>
      <c r="C43" s="905"/>
    </row>
    <row r="44" spans="1:4">
      <c r="A44" s="114"/>
      <c r="B44" s="113"/>
      <c r="C44" s="905"/>
    </row>
    <row r="45" spans="1:4">
      <c r="A45" s="114"/>
      <c r="B45" s="113"/>
      <c r="C45" s="905"/>
    </row>
    <row r="46" spans="1:4">
      <c r="A46" s="114"/>
      <c r="B46" s="113"/>
      <c r="C46" s="905"/>
    </row>
    <row r="47" spans="1:4">
      <c r="A47" s="114"/>
      <c r="B47" s="113"/>
      <c r="C47" s="905"/>
    </row>
    <row r="48" spans="1:4">
      <c r="A48" s="114"/>
      <c r="B48" s="113"/>
      <c r="C48" s="905"/>
    </row>
    <row r="49" spans="1:3">
      <c r="A49" s="114"/>
      <c r="B49" s="113"/>
      <c r="C49" s="905"/>
    </row>
    <row r="50" spans="1:3">
      <c r="A50" s="114"/>
      <c r="B50" s="113"/>
      <c r="C50" s="905"/>
    </row>
    <row r="51" spans="1:3">
      <c r="A51" s="114"/>
      <c r="B51" s="113"/>
      <c r="C51" s="905"/>
    </row>
    <row r="52" spans="1:3">
      <c r="A52" s="114"/>
      <c r="B52" s="113"/>
      <c r="C52" s="905"/>
    </row>
    <row r="53" spans="1:3">
      <c r="A53" s="114"/>
      <c r="B53" s="113"/>
      <c r="C53" s="905"/>
    </row>
    <row r="54" spans="1:3">
      <c r="A54" s="114"/>
      <c r="B54" s="113"/>
      <c r="C54" s="905"/>
    </row>
    <row r="55" spans="1:3">
      <c r="A55" s="114"/>
      <c r="B55" s="113"/>
      <c r="C55" s="905"/>
    </row>
    <row r="56" spans="1:3">
      <c r="A56" s="114"/>
      <c r="B56" s="113"/>
      <c r="C56" s="905"/>
    </row>
    <row r="57" spans="1:3">
      <c r="A57" s="114"/>
      <c r="B57" s="113"/>
      <c r="C57" s="905"/>
    </row>
    <row r="58" spans="1:3">
      <c r="A58" s="114"/>
      <c r="B58" s="113"/>
      <c r="C58" s="905"/>
    </row>
    <row r="59" spans="1:3">
      <c r="A59" s="114"/>
      <c r="B59" s="113"/>
      <c r="C59" s="905"/>
    </row>
    <row r="60" spans="1:3">
      <c r="A60" s="114"/>
      <c r="B60" s="113"/>
      <c r="C60" s="905"/>
    </row>
    <row r="61" spans="1:3">
      <c r="A61" s="114"/>
      <c r="B61" s="113"/>
      <c r="C61" s="905"/>
    </row>
    <row r="62" spans="1:3">
      <c r="A62" s="114"/>
      <c r="B62" s="113"/>
      <c r="C62" s="905"/>
    </row>
    <row r="63" spans="1:3">
      <c r="A63" s="114"/>
      <c r="B63" s="113"/>
      <c r="C63" s="905"/>
    </row>
    <row r="64" spans="1:3">
      <c r="A64" s="114"/>
      <c r="B64" s="113"/>
      <c r="C64" s="905"/>
    </row>
    <row r="65" spans="1:4">
      <c r="A65" s="114"/>
      <c r="B65" s="113"/>
      <c r="C65" s="905"/>
    </row>
    <row r="66" spans="1:4">
      <c r="A66" s="114"/>
      <c r="B66" s="113"/>
      <c r="C66" s="905"/>
    </row>
    <row r="67" spans="1:4">
      <c r="A67" s="114"/>
      <c r="B67" s="113"/>
      <c r="C67" s="905"/>
    </row>
    <row r="68" spans="1:4">
      <c r="A68" s="114"/>
      <c r="B68" s="113"/>
      <c r="C68" s="905"/>
    </row>
    <row r="69" spans="1:4">
      <c r="A69" s="114"/>
      <c r="B69" s="113"/>
      <c r="C69" s="905"/>
    </row>
    <row r="70" spans="1:4">
      <c r="A70" s="114"/>
      <c r="B70" s="113"/>
      <c r="C70" s="905"/>
    </row>
    <row r="71" spans="1:4">
      <c r="A71" s="114"/>
      <c r="B71" s="113"/>
      <c r="C71" s="905"/>
    </row>
    <row r="72" spans="1:4">
      <c r="A72" s="114"/>
      <c r="B72" s="113"/>
      <c r="C72" s="905"/>
    </row>
    <row r="73" spans="1:4">
      <c r="A73" s="114"/>
      <c r="B73" s="113"/>
      <c r="C73" s="905"/>
    </row>
    <row r="74" spans="1:4">
      <c r="A74" s="114"/>
      <c r="B74" s="113"/>
      <c r="C74" s="905"/>
    </row>
    <row r="75" spans="1:4">
      <c r="A75" s="114"/>
      <c r="B75" s="113"/>
      <c r="C75" s="905"/>
    </row>
    <row r="76" spans="1:4">
      <c r="A76" s="114"/>
      <c r="B76" s="113"/>
      <c r="C76" s="905"/>
      <c r="D76" s="109">
        <f>D11+D74</f>
        <v>0</v>
      </c>
    </row>
    <row r="77" spans="1:4">
      <c r="A77" s="114"/>
      <c r="B77" s="113"/>
      <c r="C77" s="905"/>
    </row>
    <row r="78" spans="1:4">
      <c r="A78" s="114"/>
      <c r="B78" s="113"/>
      <c r="C78" s="905"/>
    </row>
    <row r="79" spans="1:4">
      <c r="A79" s="114"/>
      <c r="B79" s="113"/>
      <c r="C79" s="905"/>
    </row>
    <row r="80" spans="1:4">
      <c r="A80" s="114"/>
      <c r="B80" s="113"/>
      <c r="C80" s="905"/>
    </row>
    <row r="81" spans="1:3">
      <c r="A81" s="114"/>
      <c r="B81" s="113"/>
      <c r="C81" s="905"/>
    </row>
    <row r="82" spans="1:3">
      <c r="A82" s="114"/>
      <c r="B82" s="113"/>
      <c r="C82" s="905"/>
    </row>
    <row r="83" spans="1:3">
      <c r="A83" s="114"/>
      <c r="B83" s="113"/>
      <c r="C83" s="905"/>
    </row>
    <row r="84" spans="1:3">
      <c r="A84" s="114"/>
      <c r="B84" s="113"/>
      <c r="C84" s="905"/>
    </row>
    <row r="85" spans="1:3">
      <c r="A85" s="114"/>
      <c r="B85" s="113"/>
      <c r="C85" s="905"/>
    </row>
    <row r="86" spans="1:3">
      <c r="A86" s="114"/>
      <c r="B86" s="113"/>
      <c r="C86" s="905"/>
    </row>
    <row r="87" spans="1:3">
      <c r="A87" s="114"/>
      <c r="B87" s="113"/>
      <c r="C87" s="905"/>
    </row>
    <row r="88" spans="1:3">
      <c r="A88" s="114"/>
      <c r="B88" s="113"/>
      <c r="C88" s="905"/>
    </row>
    <row r="89" spans="1:3">
      <c r="A89" s="114"/>
      <c r="B89" s="113"/>
      <c r="C89" s="905"/>
    </row>
    <row r="90" spans="1:3">
      <c r="A90" s="114"/>
      <c r="B90" s="113"/>
      <c r="C90" s="905"/>
    </row>
    <row r="91" spans="1:3">
      <c r="A91" s="114"/>
      <c r="B91" s="113"/>
      <c r="C91" s="905"/>
    </row>
    <row r="92" spans="1:3">
      <c r="A92" s="114"/>
      <c r="B92" s="113"/>
      <c r="C92" s="905"/>
    </row>
    <row r="93" spans="1:3">
      <c r="A93" s="114"/>
      <c r="B93" s="113"/>
      <c r="C93" s="905"/>
    </row>
    <row r="94" spans="1:3">
      <c r="A94" s="114"/>
      <c r="B94" s="113"/>
      <c r="C94" s="905"/>
    </row>
    <row r="95" spans="1:3">
      <c r="A95" s="114"/>
      <c r="B95" s="113"/>
      <c r="C95" s="905"/>
    </row>
    <row r="96" spans="1:3">
      <c r="A96" s="114"/>
      <c r="B96" s="113"/>
      <c r="C96" s="905"/>
    </row>
    <row r="97" spans="1:3">
      <c r="A97" s="114"/>
      <c r="B97" s="113"/>
      <c r="C97" s="905"/>
    </row>
    <row r="98" spans="1:3">
      <c r="A98" s="114"/>
      <c r="B98" s="113"/>
      <c r="C98" s="905"/>
    </row>
    <row r="99" spans="1:3">
      <c r="A99" s="114"/>
      <c r="B99" s="113"/>
      <c r="C99" s="905"/>
    </row>
    <row r="100" spans="1:3">
      <c r="A100" s="114"/>
      <c r="B100" s="113"/>
      <c r="C100" s="905"/>
    </row>
    <row r="101" spans="1:3">
      <c r="A101" s="114"/>
      <c r="B101" s="113"/>
      <c r="C101" s="905"/>
    </row>
    <row r="102" spans="1:3">
      <c r="A102" s="114"/>
      <c r="B102" s="113"/>
      <c r="C102" s="905"/>
    </row>
    <row r="103" spans="1:3">
      <c r="A103" s="114"/>
      <c r="B103" s="113"/>
      <c r="C103" s="905"/>
    </row>
    <row r="104" spans="1:3">
      <c r="A104" s="114"/>
      <c r="B104" s="113"/>
      <c r="C104" s="905"/>
    </row>
    <row r="105" spans="1:3">
      <c r="A105" s="114"/>
      <c r="B105" s="113"/>
      <c r="C105" s="905"/>
    </row>
    <row r="106" spans="1:3">
      <c r="A106" s="114"/>
      <c r="B106" s="113"/>
      <c r="C106" s="905"/>
    </row>
    <row r="107" spans="1:3">
      <c r="A107" s="114"/>
      <c r="B107" s="113"/>
      <c r="C107" s="905"/>
    </row>
    <row r="108" spans="1:3">
      <c r="A108" s="114"/>
      <c r="B108" s="113"/>
      <c r="C108" s="905"/>
    </row>
    <row r="109" spans="1:3">
      <c r="A109" s="114"/>
      <c r="B109" s="113"/>
      <c r="C109" s="905"/>
    </row>
    <row r="110" spans="1:3">
      <c r="A110" s="114"/>
      <c r="B110" s="113"/>
      <c r="C110" s="905"/>
    </row>
    <row r="111" spans="1:3">
      <c r="A111" s="114"/>
      <c r="B111" s="113"/>
      <c r="C111" s="905"/>
    </row>
    <row r="112" spans="1:3">
      <c r="A112" s="114"/>
      <c r="B112" s="113"/>
      <c r="C112" s="905"/>
    </row>
    <row r="113" spans="1:3">
      <c r="A113" s="114"/>
      <c r="B113" s="113"/>
      <c r="C113" s="905"/>
    </row>
    <row r="114" spans="1:3">
      <c r="A114" s="114"/>
      <c r="B114" s="113"/>
      <c r="C114" s="905"/>
    </row>
    <row r="115" spans="1:3">
      <c r="A115" s="114"/>
      <c r="B115" s="113"/>
      <c r="C115" s="905"/>
    </row>
    <row r="116" spans="1:3">
      <c r="A116" s="114"/>
      <c r="B116" s="113"/>
      <c r="C116" s="905"/>
    </row>
    <row r="117" spans="1:3">
      <c r="A117" s="114"/>
      <c r="B117" s="113"/>
      <c r="C117" s="905"/>
    </row>
    <row r="118" spans="1:3">
      <c r="A118" s="114"/>
      <c r="B118" s="113"/>
      <c r="C118" s="905"/>
    </row>
    <row r="119" spans="1:3">
      <c r="A119" s="114"/>
      <c r="B119" s="113"/>
      <c r="C119" s="905"/>
    </row>
    <row r="120" spans="1:3">
      <c r="A120" s="114"/>
      <c r="B120" s="113"/>
      <c r="C120" s="905"/>
    </row>
    <row r="121" spans="1:3">
      <c r="A121" s="114"/>
      <c r="B121" s="113"/>
      <c r="C121" s="905"/>
    </row>
    <row r="122" spans="1:3">
      <c r="A122" s="114"/>
      <c r="B122" s="113"/>
      <c r="C122" s="905"/>
    </row>
    <row r="123" spans="1:3">
      <c r="A123" s="114"/>
      <c r="B123" s="113"/>
      <c r="C123" s="905"/>
    </row>
    <row r="124" spans="1:3">
      <c r="A124" s="114"/>
      <c r="B124" s="113"/>
      <c r="C124" s="905"/>
    </row>
    <row r="125" spans="1:3">
      <c r="A125" s="114"/>
      <c r="B125" s="113"/>
      <c r="C125" s="905"/>
    </row>
    <row r="126" spans="1:3">
      <c r="A126" s="114"/>
      <c r="B126" s="113"/>
      <c r="C126" s="905"/>
    </row>
    <row r="127" spans="1:3">
      <c r="A127" s="114"/>
      <c r="B127" s="113"/>
      <c r="C127" s="905"/>
    </row>
    <row r="128" spans="1:3">
      <c r="A128" s="114"/>
      <c r="B128" s="113"/>
      <c r="C128" s="905"/>
    </row>
    <row r="129" spans="1:3">
      <c r="A129" s="114"/>
      <c r="B129" s="113"/>
      <c r="C129" s="905"/>
    </row>
    <row r="130" spans="1:3">
      <c r="A130" s="114"/>
      <c r="B130" s="113"/>
      <c r="C130" s="905"/>
    </row>
    <row r="131" spans="1:3">
      <c r="A131" s="114"/>
      <c r="B131" s="113"/>
      <c r="C131" s="905"/>
    </row>
    <row r="132" spans="1:3">
      <c r="A132" s="114"/>
      <c r="B132" s="113"/>
      <c r="C132" s="905"/>
    </row>
    <row r="133" spans="1:3">
      <c r="A133" s="114"/>
      <c r="B133" s="113"/>
      <c r="C133" s="905"/>
    </row>
    <row r="134" spans="1:3">
      <c r="A134" s="114"/>
      <c r="B134" s="113"/>
      <c r="C134" s="905"/>
    </row>
    <row r="135" spans="1:3">
      <c r="A135" s="114"/>
      <c r="B135" s="113"/>
      <c r="C135" s="905"/>
    </row>
    <row r="136" spans="1:3">
      <c r="A136" s="114"/>
      <c r="B136" s="113"/>
      <c r="C136" s="905"/>
    </row>
    <row r="137" spans="1:3">
      <c r="A137" s="114"/>
      <c r="B137" s="113"/>
      <c r="C137" s="905"/>
    </row>
    <row r="138" spans="1:3">
      <c r="A138" s="114"/>
      <c r="B138" s="113"/>
      <c r="C138" s="905"/>
    </row>
    <row r="139" spans="1:3">
      <c r="A139" s="114"/>
      <c r="B139" s="113"/>
      <c r="C139" s="905"/>
    </row>
    <row r="140" spans="1:3">
      <c r="A140" s="114"/>
      <c r="B140" s="113"/>
      <c r="C140" s="905"/>
    </row>
    <row r="141" spans="1:3">
      <c r="A141" s="114"/>
      <c r="B141" s="113"/>
      <c r="C141" s="905"/>
    </row>
    <row r="142" spans="1:3">
      <c r="A142" s="114"/>
      <c r="B142" s="113"/>
      <c r="C142" s="905"/>
    </row>
    <row r="143" spans="1:3">
      <c r="A143" s="114"/>
      <c r="B143" s="113"/>
      <c r="C143" s="905"/>
    </row>
    <row r="144" spans="1:3">
      <c r="A144" s="114"/>
      <c r="B144" s="113"/>
      <c r="C144" s="905"/>
    </row>
    <row r="145" spans="1:3">
      <c r="A145" s="114"/>
      <c r="B145" s="113"/>
      <c r="C145" s="905"/>
    </row>
    <row r="146" spans="1:3">
      <c r="A146" s="114"/>
      <c r="B146" s="113"/>
      <c r="C146" s="905"/>
    </row>
    <row r="147" spans="1:3">
      <c r="A147" s="114"/>
      <c r="B147" s="113"/>
      <c r="C147" s="905"/>
    </row>
    <row r="148" spans="1:3">
      <c r="A148" s="114"/>
      <c r="B148" s="113"/>
      <c r="C148" s="905"/>
    </row>
    <row r="149" spans="1:3">
      <c r="A149" s="114"/>
      <c r="B149" s="113"/>
      <c r="C149" s="905"/>
    </row>
    <row r="150" spans="1:3">
      <c r="A150" s="114"/>
      <c r="B150" s="113"/>
      <c r="C150" s="905"/>
    </row>
    <row r="151" spans="1:3">
      <c r="A151" s="114"/>
      <c r="B151" s="113"/>
      <c r="C151" s="905"/>
    </row>
    <row r="152" spans="1:3">
      <c r="A152" s="114"/>
      <c r="B152" s="113"/>
      <c r="C152" s="905"/>
    </row>
    <row r="153" spans="1:3">
      <c r="A153" s="114"/>
      <c r="B153" s="113"/>
      <c r="C153" s="905"/>
    </row>
    <row r="154" spans="1:3">
      <c r="A154" s="114"/>
      <c r="B154" s="113"/>
      <c r="C154" s="905"/>
    </row>
    <row r="155" spans="1:3">
      <c r="A155" s="114"/>
      <c r="B155" s="113"/>
      <c r="C155" s="905"/>
    </row>
    <row r="156" spans="1:3">
      <c r="A156" s="114"/>
      <c r="B156" s="113"/>
      <c r="C156" s="905"/>
    </row>
    <row r="157" spans="1:3">
      <c r="A157" s="114"/>
      <c r="B157" s="113"/>
      <c r="C157" s="905"/>
    </row>
    <row r="158" spans="1:3">
      <c r="A158" s="114"/>
      <c r="B158" s="113"/>
      <c r="C158" s="905"/>
    </row>
    <row r="159" spans="1:3">
      <c r="A159" s="114"/>
      <c r="B159" s="113"/>
      <c r="C159" s="905"/>
    </row>
    <row r="160" spans="1:3">
      <c r="A160" s="114"/>
      <c r="B160" s="113"/>
      <c r="C160" s="905"/>
    </row>
    <row r="161" spans="1:3">
      <c r="A161" s="114"/>
      <c r="B161" s="113"/>
      <c r="C161" s="905"/>
    </row>
    <row r="162" spans="1:3">
      <c r="A162" s="114"/>
      <c r="B162" s="113"/>
      <c r="C162" s="905"/>
    </row>
    <row r="163" spans="1:3">
      <c r="A163" s="114"/>
      <c r="B163" s="113"/>
      <c r="C163" s="905"/>
    </row>
    <row r="164" spans="1:3">
      <c r="A164" s="114"/>
      <c r="B164" s="113"/>
      <c r="C164" s="905"/>
    </row>
    <row r="165" spans="1:3">
      <c r="A165" s="114"/>
      <c r="B165" s="113"/>
      <c r="C165" s="905"/>
    </row>
    <row r="166" spans="1:3">
      <c r="A166" s="114"/>
      <c r="B166" s="113"/>
      <c r="C166" s="905"/>
    </row>
    <row r="167" spans="1:3">
      <c r="A167" s="114"/>
      <c r="B167" s="113"/>
      <c r="C167" s="905"/>
    </row>
    <row r="168" spans="1:3">
      <c r="A168" s="114"/>
      <c r="B168" s="113"/>
      <c r="C168" s="905"/>
    </row>
    <row r="169" spans="1:3">
      <c r="A169" s="114"/>
      <c r="B169" s="113"/>
      <c r="C169" s="905"/>
    </row>
    <row r="170" spans="1:3">
      <c r="A170" s="114"/>
      <c r="B170" s="113"/>
      <c r="C170" s="905"/>
    </row>
    <row r="171" spans="1:3">
      <c r="A171" s="114"/>
      <c r="B171" s="113"/>
      <c r="C171" s="905"/>
    </row>
    <row r="172" spans="1:3">
      <c r="A172" s="114"/>
      <c r="B172" s="113"/>
      <c r="C172" s="905"/>
    </row>
    <row r="173" spans="1:3">
      <c r="A173" s="114"/>
      <c r="B173" s="113"/>
      <c r="C173" s="905"/>
    </row>
    <row r="174" spans="1:3">
      <c r="A174" s="114"/>
      <c r="B174" s="113"/>
      <c r="C174" s="905"/>
    </row>
    <row r="175" spans="1:3">
      <c r="A175" s="114"/>
      <c r="B175" s="113"/>
      <c r="C175" s="905"/>
    </row>
    <row r="176" spans="1:3">
      <c r="A176" s="114"/>
      <c r="B176" s="113"/>
      <c r="C176" s="905"/>
    </row>
    <row r="177" spans="1:3">
      <c r="A177" s="114"/>
      <c r="B177" s="113"/>
      <c r="C177" s="905"/>
    </row>
    <row r="178" spans="1:3">
      <c r="A178" s="114"/>
      <c r="B178" s="113"/>
      <c r="C178" s="905"/>
    </row>
    <row r="179" spans="1:3">
      <c r="A179" s="114"/>
      <c r="B179" s="113"/>
      <c r="C179" s="905"/>
    </row>
    <row r="180" spans="1:3">
      <c r="A180" s="114"/>
      <c r="B180" s="113"/>
      <c r="C180" s="905"/>
    </row>
    <row r="181" spans="1:3">
      <c r="A181" s="114"/>
      <c r="B181" s="113"/>
      <c r="C181" s="905"/>
    </row>
    <row r="182" spans="1:3">
      <c r="A182" s="114"/>
      <c r="B182" s="113"/>
      <c r="C182" s="905"/>
    </row>
    <row r="183" spans="1:3">
      <c r="A183" s="114"/>
      <c r="B183" s="113"/>
      <c r="C183" s="905"/>
    </row>
    <row r="184" spans="1:3">
      <c r="A184" s="114"/>
      <c r="B184" s="113"/>
      <c r="C184" s="905"/>
    </row>
    <row r="185" spans="1:3">
      <c r="A185" s="114"/>
      <c r="B185" s="113"/>
      <c r="C185" s="905"/>
    </row>
    <row r="186" spans="1:3">
      <c r="A186" s="114"/>
      <c r="B186" s="113"/>
      <c r="C186" s="905"/>
    </row>
    <row r="187" spans="1:3">
      <c r="A187" s="114"/>
      <c r="B187" s="113"/>
      <c r="C187" s="905"/>
    </row>
    <row r="188" spans="1:3">
      <c r="A188" s="114"/>
      <c r="B188" s="113"/>
      <c r="C188" s="905"/>
    </row>
    <row r="189" spans="1:3">
      <c r="A189" s="114"/>
      <c r="B189" s="113"/>
      <c r="C189" s="905"/>
    </row>
    <row r="190" spans="1:3">
      <c r="A190" s="114"/>
      <c r="B190" s="113"/>
      <c r="C190" s="905"/>
    </row>
    <row r="191" spans="1:3">
      <c r="A191" s="114"/>
      <c r="B191" s="113"/>
      <c r="C191" s="905"/>
    </row>
    <row r="192" spans="1:3">
      <c r="A192" s="114"/>
      <c r="B192" s="113"/>
      <c r="C192" s="905"/>
    </row>
    <row r="193" spans="1:3">
      <c r="A193" s="114"/>
      <c r="B193" s="113"/>
      <c r="C193" s="905"/>
    </row>
    <row r="194" spans="1:3">
      <c r="A194" s="114"/>
      <c r="B194" s="113"/>
      <c r="C194" s="905"/>
    </row>
    <row r="195" spans="1:3">
      <c r="A195" s="114"/>
      <c r="B195" s="113"/>
      <c r="C195" s="905"/>
    </row>
    <row r="196" spans="1:3">
      <c r="A196" s="114"/>
      <c r="B196" s="113"/>
      <c r="C196" s="905"/>
    </row>
    <row r="197" spans="1:3">
      <c r="A197" s="114"/>
      <c r="B197" s="113"/>
      <c r="C197" s="905"/>
    </row>
    <row r="198" spans="1:3">
      <c r="A198" s="114"/>
      <c r="B198" s="113"/>
      <c r="C198" s="905"/>
    </row>
    <row r="199" spans="1:3">
      <c r="A199" s="114"/>
      <c r="B199" s="113"/>
      <c r="C199" s="905"/>
    </row>
    <row r="200" spans="1:3">
      <c r="A200" s="114"/>
      <c r="B200" s="113"/>
      <c r="C200" s="905"/>
    </row>
    <row r="201" spans="1:3">
      <c r="A201" s="114"/>
      <c r="B201" s="113"/>
      <c r="C201" s="905"/>
    </row>
    <row r="202" spans="1:3">
      <c r="A202" s="114"/>
      <c r="B202" s="113"/>
      <c r="C202" s="905"/>
    </row>
    <row r="203" spans="1:3">
      <c r="A203" s="114"/>
      <c r="B203" s="113"/>
      <c r="C203" s="905"/>
    </row>
    <row r="204" spans="1:3">
      <c r="A204" s="114"/>
      <c r="B204" s="113"/>
      <c r="C204" s="905"/>
    </row>
  </sheetData>
  <sheetProtection algorithmName="SHA-512" hashValue="PTqjkVawNRxsq/E+LaesVf6+4gD06hTGrQg0i27/KVHMPNW9HmEZDHUz+onFeRrpUZNlJfaDTuDWz2jL8sg9oQ==" saltValue="X2vzrmyeaW+fqAESzZ/nGA==" spinCount="100000" sheet="1" objects="1" scenarios="1" formatCells="0" formatColumns="0" formatRows="0"/>
  <pageMargins left="1.1811023622047245" right="0.78740157480314965" top="2.4409448818897639" bottom="0.78740157480314965" header="1.2204724409448819" footer="0.51181102362204722"/>
  <pageSetup paperSize="9" orientation="portrait" useFirstPageNumber="1" horizontalDpi="300" verticalDpi="300" r:id="rId1"/>
  <headerFooter alignWithMargins="0">
    <oddHeader>&amp;C&amp;"Calibri,Bold"&amp;12ZUNANJA UREDITEV</oddHeader>
    <oddFooter>&amp;R&amp;"Calibri,Bold"&amp;9Stran &amp;P od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989"/>
  <sheetViews>
    <sheetView view="pageBreakPreview" zoomScale="120" zoomScaleNormal="120" zoomScaleSheetLayoutView="120" workbookViewId="0">
      <pane ySplit="1" topLeftCell="A20" activePane="bottomLeft" state="frozen"/>
      <selection pane="bottomLeft" activeCell="E21" sqref="E21"/>
    </sheetView>
  </sheetViews>
  <sheetFormatPr defaultColWidth="8" defaultRowHeight="12.75"/>
  <cols>
    <col min="1" max="1" width="6.375" style="137" customWidth="1"/>
    <col min="2" max="2" width="34.5" style="136" customWidth="1"/>
    <col min="3" max="3" width="7.25" style="133" customWidth="1"/>
    <col min="4" max="4" width="5.375" style="135" customWidth="1"/>
    <col min="5" max="5" width="11.5" style="825" customWidth="1"/>
    <col min="6" max="6" width="13.625" style="918" customWidth="1"/>
    <col min="7" max="7" width="9" style="134" customWidth="1"/>
    <col min="8" max="13" width="0" style="133" hidden="1" customWidth="1"/>
    <col min="14" max="254" width="8" style="133"/>
    <col min="255" max="16384" width="8" style="132"/>
  </cols>
  <sheetData>
    <row r="1" spans="1:256" s="191" customFormat="1" ht="25.5">
      <c r="A1" s="730" t="s">
        <v>242</v>
      </c>
      <c r="B1" s="731" t="s">
        <v>243</v>
      </c>
      <c r="C1" s="732" t="s">
        <v>253</v>
      </c>
      <c r="D1" s="733" t="s">
        <v>254</v>
      </c>
      <c r="E1" s="824" t="s">
        <v>255</v>
      </c>
      <c r="F1" s="907" t="s">
        <v>244</v>
      </c>
      <c r="IU1" s="132"/>
      <c r="IV1" s="132"/>
    </row>
    <row r="2" spans="1:256" s="158" customFormat="1">
      <c r="A2" s="734"/>
      <c r="B2" s="580"/>
      <c r="C2" s="336"/>
      <c r="D2" s="329"/>
      <c r="E2" s="825"/>
      <c r="F2" s="908"/>
      <c r="G2" s="142"/>
      <c r="IU2" s="132"/>
      <c r="IV2" s="132"/>
    </row>
    <row r="3" spans="1:256" s="143" customFormat="1">
      <c r="A3" s="341" t="s">
        <v>89</v>
      </c>
      <c r="B3" s="526" t="s">
        <v>245</v>
      </c>
      <c r="C3" s="735"/>
      <c r="D3" s="333"/>
      <c r="E3" s="826"/>
      <c r="F3" s="909"/>
      <c r="IU3" s="132"/>
      <c r="IV3" s="132"/>
    </row>
    <row r="4" spans="1:256" s="142" customFormat="1">
      <c r="A4" s="734"/>
      <c r="B4" s="526"/>
      <c r="C4" s="736"/>
      <c r="D4" s="335"/>
      <c r="E4" s="827"/>
      <c r="F4" s="910"/>
      <c r="IU4" s="132"/>
      <c r="IV4" s="132"/>
    </row>
    <row r="5" spans="1:256" s="142" customFormat="1">
      <c r="A5" s="341" t="s">
        <v>256</v>
      </c>
      <c r="B5" s="526" t="s">
        <v>257</v>
      </c>
      <c r="C5" s="736"/>
      <c r="D5" s="335"/>
      <c r="E5" s="827"/>
      <c r="F5" s="910"/>
      <c r="IU5" s="132"/>
      <c r="IV5" s="132"/>
    </row>
    <row r="6" spans="1:256" s="158" customFormat="1">
      <c r="A6" s="734"/>
      <c r="B6" s="580"/>
      <c r="C6" s="336"/>
      <c r="D6" s="329"/>
      <c r="E6" s="825"/>
      <c r="F6" s="908"/>
      <c r="G6" s="142"/>
      <c r="IU6" s="132"/>
      <c r="IV6" s="132"/>
    </row>
    <row r="7" spans="1:256" s="158" customFormat="1" ht="25.5">
      <c r="A7" s="734" t="s">
        <v>258</v>
      </c>
      <c r="B7" s="580" t="s">
        <v>259</v>
      </c>
      <c r="C7" s="328"/>
      <c r="D7" s="329"/>
      <c r="E7" s="825"/>
      <c r="F7" s="908"/>
      <c r="G7" s="142"/>
      <c r="IU7" s="132"/>
      <c r="IV7" s="132"/>
    </row>
    <row r="8" spans="1:256" s="158" customFormat="1">
      <c r="A8" s="734"/>
      <c r="B8" s="580"/>
      <c r="C8" s="328">
        <v>1</v>
      </c>
      <c r="D8" s="329" t="s">
        <v>113</v>
      </c>
      <c r="E8" s="828"/>
      <c r="F8" s="911">
        <f>ROUND(ROUND(C8,2)*ROUND(E8,2),2)</f>
        <v>0</v>
      </c>
      <c r="G8" s="142"/>
      <c r="IU8" s="132"/>
      <c r="IV8" s="132"/>
    </row>
    <row r="9" spans="1:256" s="158" customFormat="1">
      <c r="A9" s="734"/>
      <c r="B9" s="580"/>
      <c r="C9" s="328"/>
      <c r="D9" s="329"/>
      <c r="E9" s="825"/>
      <c r="F9" s="911"/>
      <c r="G9" s="142"/>
      <c r="IU9" s="132"/>
      <c r="IV9" s="132"/>
    </row>
    <row r="10" spans="1:256" s="158" customFormat="1" ht="25.5">
      <c r="A10" s="342" t="s">
        <v>261</v>
      </c>
      <c r="B10" s="580" t="s">
        <v>262</v>
      </c>
      <c r="C10" s="328"/>
      <c r="D10" s="329"/>
      <c r="E10" s="825"/>
      <c r="F10" s="911"/>
      <c r="G10" s="142"/>
      <c r="IU10" s="132"/>
      <c r="IV10" s="132"/>
    </row>
    <row r="11" spans="1:256" s="158" customFormat="1">
      <c r="A11" s="342"/>
      <c r="B11" s="580"/>
      <c r="C11" s="328">
        <v>20</v>
      </c>
      <c r="D11" s="329" t="s">
        <v>113</v>
      </c>
      <c r="E11" s="828"/>
      <c r="F11" s="911">
        <f t="shared" ref="F11" si="0">ROUND(ROUND(C11,2)*ROUND(E11,2),2)</f>
        <v>0</v>
      </c>
      <c r="G11" s="142"/>
      <c r="IU11" s="132"/>
      <c r="IV11" s="132"/>
    </row>
    <row r="12" spans="1:256" s="158" customFormat="1">
      <c r="A12" s="342"/>
      <c r="B12" s="580"/>
      <c r="C12" s="328"/>
      <c r="D12" s="329"/>
      <c r="E12" s="825"/>
      <c r="F12" s="908"/>
      <c r="G12" s="142"/>
      <c r="IU12" s="132"/>
      <c r="IV12" s="132"/>
    </row>
    <row r="13" spans="1:256" s="142" customFormat="1">
      <c r="A13" s="341" t="s">
        <v>256</v>
      </c>
      <c r="B13" s="526" t="s">
        <v>263</v>
      </c>
      <c r="C13" s="334"/>
      <c r="D13" s="335"/>
      <c r="E13" s="827"/>
      <c r="F13" s="907">
        <f>SUM(F7:F11)</f>
        <v>0</v>
      </c>
      <c r="IU13" s="132"/>
      <c r="IV13" s="132"/>
    </row>
    <row r="14" spans="1:256" s="142" customFormat="1">
      <c r="A14" s="341"/>
      <c r="B14" s="526"/>
      <c r="C14" s="334"/>
      <c r="D14" s="335"/>
      <c r="E14" s="827"/>
      <c r="F14" s="910"/>
      <c r="IU14" s="132"/>
      <c r="IV14" s="132"/>
    </row>
    <row r="15" spans="1:256" s="186" customFormat="1">
      <c r="A15" s="341" t="s">
        <v>264</v>
      </c>
      <c r="B15" s="526" t="s">
        <v>265</v>
      </c>
      <c r="C15" s="737"/>
      <c r="D15" s="738"/>
      <c r="E15" s="834"/>
      <c r="F15" s="912"/>
      <c r="IV15" s="187"/>
    </row>
    <row r="16" spans="1:256" s="190" customFormat="1">
      <c r="A16" s="739"/>
      <c r="B16" s="740"/>
      <c r="C16" s="741"/>
      <c r="D16" s="742"/>
      <c r="E16" s="835"/>
      <c r="F16" s="913"/>
      <c r="IV16" s="187"/>
    </row>
    <row r="17" spans="1:256" s="190" customFormat="1" ht="25.5">
      <c r="A17" s="734" t="s">
        <v>266</v>
      </c>
      <c r="B17" s="580" t="s">
        <v>267</v>
      </c>
      <c r="C17" s="328"/>
      <c r="D17" s="329"/>
      <c r="E17" s="825"/>
      <c r="F17" s="908"/>
      <c r="IV17" s="187"/>
    </row>
    <row r="18" spans="1:256" s="190" customFormat="1">
      <c r="A18" s="734"/>
      <c r="B18" s="580"/>
      <c r="C18" s="328">
        <v>20</v>
      </c>
      <c r="D18" s="329" t="s">
        <v>113</v>
      </c>
      <c r="E18" s="828"/>
      <c r="F18" s="911">
        <f>ROUND(ROUND(C18,2)*ROUND(E18,2),2)</f>
        <v>0</v>
      </c>
      <c r="IV18" s="187"/>
    </row>
    <row r="19" spans="1:256" s="190" customFormat="1">
      <c r="A19" s="743"/>
      <c r="B19" s="744"/>
      <c r="C19" s="745"/>
      <c r="D19" s="746"/>
      <c r="E19" s="836"/>
      <c r="F19" s="911"/>
      <c r="IV19" s="187"/>
    </row>
    <row r="20" spans="1:256" s="190" customFormat="1" ht="25.5">
      <c r="A20" s="734" t="s">
        <v>268</v>
      </c>
      <c r="B20" s="580" t="s">
        <v>269</v>
      </c>
      <c r="C20" s="328"/>
      <c r="D20" s="329"/>
      <c r="E20" s="825"/>
      <c r="F20" s="911"/>
      <c r="IV20" s="187"/>
    </row>
    <row r="21" spans="1:256" s="190" customFormat="1">
      <c r="A21" s="734"/>
      <c r="B21" s="580"/>
      <c r="C21" s="328">
        <v>10</v>
      </c>
      <c r="D21" s="329" t="s">
        <v>113</v>
      </c>
      <c r="E21" s="828"/>
      <c r="F21" s="911">
        <f t="shared" ref="F21:F51" si="1">ROUND(ROUND(C21,2)*ROUND(E21,2),2)</f>
        <v>0</v>
      </c>
      <c r="IV21" s="187"/>
    </row>
    <row r="22" spans="1:256" s="190" customFormat="1">
      <c r="A22" s="743"/>
      <c r="B22" s="744"/>
      <c r="C22" s="745"/>
      <c r="D22" s="746"/>
      <c r="E22" s="836"/>
      <c r="F22" s="911"/>
      <c r="IV22" s="187"/>
    </row>
    <row r="23" spans="1:256" s="190" customFormat="1" ht="25.5">
      <c r="A23" s="734" t="s">
        <v>270</v>
      </c>
      <c r="B23" s="580" t="s">
        <v>271</v>
      </c>
      <c r="C23" s="328"/>
      <c r="D23" s="329"/>
      <c r="E23" s="825"/>
      <c r="F23" s="911"/>
      <c r="IV23" s="187"/>
    </row>
    <row r="24" spans="1:256" s="190" customFormat="1">
      <c r="A24" s="734"/>
      <c r="B24" s="580"/>
      <c r="C24" s="328">
        <f>C18</f>
        <v>20</v>
      </c>
      <c r="D24" s="329" t="s">
        <v>113</v>
      </c>
      <c r="E24" s="828"/>
      <c r="F24" s="911">
        <f t="shared" si="1"/>
        <v>0</v>
      </c>
      <c r="IV24" s="187"/>
    </row>
    <row r="25" spans="1:256" s="190" customFormat="1">
      <c r="A25" s="743"/>
      <c r="B25" s="744"/>
      <c r="C25" s="745"/>
      <c r="D25" s="746"/>
      <c r="E25" s="836"/>
      <c r="F25" s="911"/>
      <c r="IV25" s="187"/>
    </row>
    <row r="26" spans="1:256" s="190" customFormat="1" ht="25.5">
      <c r="A26" s="734" t="s">
        <v>272</v>
      </c>
      <c r="B26" s="580" t="s">
        <v>273</v>
      </c>
      <c r="C26" s="328"/>
      <c r="D26" s="329"/>
      <c r="E26" s="825"/>
      <c r="F26" s="911"/>
      <c r="IV26" s="187"/>
    </row>
    <row r="27" spans="1:256" s="190" customFormat="1">
      <c r="A27" s="734"/>
      <c r="B27" s="580"/>
      <c r="C27" s="328">
        <f>C21</f>
        <v>10</v>
      </c>
      <c r="D27" s="329" t="s">
        <v>113</v>
      </c>
      <c r="E27" s="828"/>
      <c r="F27" s="911">
        <f t="shared" si="1"/>
        <v>0</v>
      </c>
      <c r="IV27" s="187"/>
    </row>
    <row r="28" spans="1:256" s="190" customFormat="1">
      <c r="A28" s="734"/>
      <c r="B28" s="580"/>
      <c r="C28" s="328"/>
      <c r="D28" s="329"/>
      <c r="E28" s="825"/>
      <c r="F28" s="911"/>
      <c r="IV28" s="187"/>
    </row>
    <row r="29" spans="1:256" s="190" customFormat="1">
      <c r="A29" s="734" t="s">
        <v>274</v>
      </c>
      <c r="B29" s="580" t="s">
        <v>275</v>
      </c>
      <c r="C29" s="328"/>
      <c r="D29" s="329"/>
      <c r="E29" s="825"/>
      <c r="F29" s="911"/>
      <c r="IV29" s="187"/>
    </row>
    <row r="30" spans="1:256" s="190" customFormat="1">
      <c r="A30" s="734"/>
      <c r="B30" s="580"/>
      <c r="C30" s="328">
        <v>200</v>
      </c>
      <c r="D30" s="329" t="s">
        <v>121</v>
      </c>
      <c r="E30" s="828"/>
      <c r="F30" s="911">
        <f t="shared" si="1"/>
        <v>0</v>
      </c>
      <c r="IV30" s="187"/>
    </row>
    <row r="31" spans="1:256" s="190" customFormat="1">
      <c r="A31" s="743"/>
      <c r="B31" s="744"/>
      <c r="C31" s="745"/>
      <c r="D31" s="746"/>
      <c r="E31" s="836"/>
      <c r="F31" s="911"/>
      <c r="IV31" s="187"/>
    </row>
    <row r="32" spans="1:256" s="190" customFormat="1" ht="25.5">
      <c r="A32" s="734" t="s">
        <v>276</v>
      </c>
      <c r="B32" s="580" t="s">
        <v>277</v>
      </c>
      <c r="C32" s="328"/>
      <c r="D32" s="329"/>
      <c r="E32" s="825"/>
      <c r="F32" s="911"/>
      <c r="IV32" s="187"/>
    </row>
    <row r="33" spans="1:256" s="190" customFormat="1">
      <c r="A33" s="734"/>
      <c r="B33" s="580"/>
      <c r="C33" s="328">
        <v>500</v>
      </c>
      <c r="D33" s="329" t="s">
        <v>100</v>
      </c>
      <c r="E33" s="828"/>
      <c r="F33" s="911">
        <f t="shared" si="1"/>
        <v>0</v>
      </c>
      <c r="IV33" s="187"/>
    </row>
    <row r="34" spans="1:256" s="190" customFormat="1">
      <c r="A34" s="747"/>
      <c r="B34" s="740"/>
      <c r="C34" s="741"/>
      <c r="D34" s="742"/>
      <c r="E34" s="835"/>
      <c r="F34" s="911"/>
      <c r="IV34" s="187"/>
    </row>
    <row r="35" spans="1:256" s="190" customFormat="1" ht="51">
      <c r="A35" s="734" t="s">
        <v>278</v>
      </c>
      <c r="B35" s="580" t="s">
        <v>279</v>
      </c>
      <c r="C35" s="328"/>
      <c r="D35" s="329"/>
      <c r="E35" s="825"/>
      <c r="F35" s="911"/>
      <c r="IV35" s="187"/>
    </row>
    <row r="36" spans="1:256" s="190" customFormat="1">
      <c r="A36" s="734"/>
      <c r="B36" s="580"/>
      <c r="C36" s="328">
        <v>30</v>
      </c>
      <c r="D36" s="329" t="s">
        <v>100</v>
      </c>
      <c r="E36" s="828"/>
      <c r="F36" s="911">
        <f t="shared" si="1"/>
        <v>0</v>
      </c>
      <c r="IV36" s="187"/>
    </row>
    <row r="37" spans="1:256" s="190" customFormat="1">
      <c r="A37" s="743"/>
      <c r="B37" s="744"/>
      <c r="C37" s="745"/>
      <c r="D37" s="746"/>
      <c r="E37" s="836"/>
      <c r="F37" s="911"/>
      <c r="IV37" s="187"/>
    </row>
    <row r="38" spans="1:256" s="190" customFormat="1" ht="38.25">
      <c r="A38" s="734" t="s">
        <v>280</v>
      </c>
      <c r="B38" s="580" t="s">
        <v>281</v>
      </c>
      <c r="C38" s="328"/>
      <c r="D38" s="329"/>
      <c r="E38" s="825"/>
      <c r="F38" s="911"/>
      <c r="IV38" s="187"/>
    </row>
    <row r="39" spans="1:256" s="190" customFormat="1">
      <c r="A39" s="734"/>
      <c r="B39" s="580"/>
      <c r="C39" s="328">
        <v>110</v>
      </c>
      <c r="D39" s="329" t="s">
        <v>100</v>
      </c>
      <c r="E39" s="828"/>
      <c r="F39" s="911">
        <f t="shared" si="1"/>
        <v>0</v>
      </c>
      <c r="IV39" s="187"/>
    </row>
    <row r="40" spans="1:256" s="190" customFormat="1">
      <c r="A40" s="743"/>
      <c r="B40" s="744"/>
      <c r="C40" s="745"/>
      <c r="D40" s="746"/>
      <c r="E40" s="836"/>
      <c r="F40" s="911"/>
      <c r="IV40" s="187"/>
    </row>
    <row r="41" spans="1:256" s="190" customFormat="1" ht="38.25">
      <c r="A41" s="734" t="s">
        <v>282</v>
      </c>
      <c r="B41" s="580" t="s">
        <v>283</v>
      </c>
      <c r="C41" s="328"/>
      <c r="D41" s="329"/>
      <c r="E41" s="825"/>
      <c r="F41" s="911"/>
      <c r="IV41" s="187"/>
    </row>
    <row r="42" spans="1:256" s="190" customFormat="1">
      <c r="A42" s="734"/>
      <c r="B42" s="580"/>
      <c r="C42" s="328">
        <v>15</v>
      </c>
      <c r="D42" s="329" t="s">
        <v>100</v>
      </c>
      <c r="E42" s="828"/>
      <c r="F42" s="911">
        <f t="shared" si="1"/>
        <v>0</v>
      </c>
      <c r="IV42" s="187"/>
    </row>
    <row r="43" spans="1:256" s="190" customFormat="1">
      <c r="A43" s="747"/>
      <c r="B43" s="740"/>
      <c r="C43" s="741"/>
      <c r="D43" s="742"/>
      <c r="E43" s="835"/>
      <c r="F43" s="911"/>
      <c r="IV43" s="187"/>
    </row>
    <row r="44" spans="1:256" s="173" customFormat="1" ht="51">
      <c r="A44" s="734" t="s">
        <v>284</v>
      </c>
      <c r="B44" s="580" t="s">
        <v>285</v>
      </c>
      <c r="C44" s="328"/>
      <c r="D44" s="329"/>
      <c r="E44" s="825"/>
      <c r="F44" s="911"/>
      <c r="G44" s="174"/>
      <c r="I44" s="179"/>
      <c r="J44" s="189"/>
      <c r="K44" s="171"/>
      <c r="L44" s="188"/>
      <c r="M44" s="174"/>
      <c r="O44" s="179"/>
      <c r="P44" s="189"/>
      <c r="Q44" s="171"/>
      <c r="R44" s="188"/>
      <c r="S44" s="174"/>
      <c r="U44" s="179"/>
      <c r="V44" s="189"/>
      <c r="W44" s="171"/>
      <c r="X44" s="188"/>
      <c r="Y44" s="174"/>
      <c r="AA44" s="179"/>
      <c r="AB44" s="189"/>
      <c r="AC44" s="171"/>
      <c r="AD44" s="188"/>
      <c r="AE44" s="174"/>
      <c r="AG44" s="179"/>
      <c r="AH44" s="189"/>
      <c r="AI44" s="171"/>
      <c r="AJ44" s="188"/>
      <c r="AK44" s="174"/>
      <c r="AM44" s="179"/>
      <c r="AN44" s="189"/>
      <c r="AO44" s="171"/>
      <c r="AP44" s="188"/>
      <c r="AQ44" s="174"/>
      <c r="AS44" s="179"/>
      <c r="AT44" s="189"/>
      <c r="AU44" s="171"/>
      <c r="AV44" s="188"/>
      <c r="AW44" s="174"/>
      <c r="AY44" s="179"/>
      <c r="AZ44" s="189"/>
      <c r="BA44" s="171"/>
      <c r="BB44" s="188"/>
      <c r="BC44" s="174"/>
      <c r="BE44" s="179"/>
      <c r="BF44" s="189"/>
      <c r="BG44" s="171"/>
      <c r="BH44" s="188"/>
      <c r="BI44" s="174"/>
      <c r="BK44" s="179"/>
      <c r="BL44" s="189"/>
      <c r="BM44" s="171"/>
      <c r="BN44" s="188"/>
      <c r="BO44" s="174"/>
      <c r="BQ44" s="179"/>
      <c r="BR44" s="189"/>
      <c r="BS44" s="171"/>
      <c r="BT44" s="188"/>
      <c r="BU44" s="174"/>
      <c r="BW44" s="179"/>
      <c r="BX44" s="189"/>
      <c r="BY44" s="171"/>
      <c r="BZ44" s="188"/>
      <c r="CA44" s="174"/>
      <c r="CC44" s="179"/>
      <c r="CD44" s="189"/>
      <c r="CE44" s="171"/>
      <c r="CF44" s="188"/>
      <c r="CG44" s="174"/>
      <c r="CI44" s="179"/>
      <c r="CJ44" s="189"/>
      <c r="CK44" s="171"/>
      <c r="CL44" s="188"/>
      <c r="CM44" s="174"/>
      <c r="CO44" s="179"/>
      <c r="CP44" s="189"/>
      <c r="CQ44" s="171"/>
      <c r="CR44" s="188"/>
      <c r="CS44" s="174"/>
      <c r="CU44" s="179"/>
      <c r="CV44" s="189"/>
      <c r="CW44" s="171"/>
      <c r="CX44" s="188"/>
      <c r="CY44" s="174"/>
      <c r="DA44" s="179"/>
      <c r="DB44" s="189"/>
      <c r="DC44" s="171"/>
      <c r="DD44" s="188"/>
      <c r="DE44" s="174"/>
      <c r="DG44" s="179"/>
      <c r="DH44" s="189"/>
      <c r="DI44" s="171"/>
      <c r="DJ44" s="188"/>
      <c r="DK44" s="174"/>
      <c r="DM44" s="179"/>
      <c r="DN44" s="189"/>
      <c r="DO44" s="171"/>
      <c r="DP44" s="188"/>
      <c r="DQ44" s="174"/>
      <c r="DS44" s="179"/>
      <c r="DT44" s="189"/>
      <c r="DU44" s="171"/>
      <c r="DV44" s="188"/>
      <c r="DW44" s="174"/>
      <c r="DY44" s="179"/>
      <c r="DZ44" s="189"/>
      <c r="EA44" s="171"/>
      <c r="EB44" s="188"/>
      <c r="EC44" s="174"/>
      <c r="EE44" s="179"/>
      <c r="EF44" s="189"/>
      <c r="EG44" s="171"/>
      <c r="EH44" s="188"/>
      <c r="EI44" s="174"/>
      <c r="EK44" s="179"/>
      <c r="EL44" s="189"/>
      <c r="EM44" s="171"/>
      <c r="EN44" s="188"/>
      <c r="EO44" s="174"/>
      <c r="EQ44" s="179"/>
      <c r="ER44" s="189"/>
      <c r="ES44" s="171"/>
      <c r="ET44" s="188"/>
      <c r="EU44" s="174"/>
      <c r="EW44" s="179"/>
      <c r="EX44" s="189"/>
      <c r="EY44" s="171"/>
      <c r="EZ44" s="188"/>
      <c r="FA44" s="174"/>
      <c r="FC44" s="179"/>
      <c r="FD44" s="189"/>
      <c r="FE44" s="171"/>
      <c r="FF44" s="188"/>
      <c r="FG44" s="174"/>
      <c r="FI44" s="179"/>
      <c r="FJ44" s="189"/>
      <c r="FK44" s="171"/>
      <c r="FL44" s="188"/>
      <c r="FM44" s="174"/>
      <c r="FO44" s="179"/>
      <c r="FP44" s="189"/>
      <c r="FQ44" s="171"/>
      <c r="FR44" s="188"/>
      <c r="FS44" s="174"/>
      <c r="FU44" s="179"/>
      <c r="FV44" s="189"/>
      <c r="FW44" s="171"/>
      <c r="FX44" s="188"/>
      <c r="FY44" s="174"/>
      <c r="GA44" s="179"/>
      <c r="GB44" s="189"/>
      <c r="GC44" s="171"/>
      <c r="GD44" s="188"/>
      <c r="GE44" s="174"/>
      <c r="GG44" s="179"/>
      <c r="GH44" s="189"/>
      <c r="GI44" s="171"/>
      <c r="GJ44" s="188"/>
      <c r="GK44" s="174"/>
      <c r="GM44" s="179"/>
      <c r="GN44" s="189"/>
      <c r="GO44" s="171"/>
      <c r="GP44" s="188"/>
      <c r="GQ44" s="174"/>
      <c r="GS44" s="179"/>
      <c r="GT44" s="189"/>
      <c r="GU44" s="171"/>
      <c r="GV44" s="188"/>
      <c r="GW44" s="174"/>
      <c r="GY44" s="179"/>
      <c r="GZ44" s="189"/>
      <c r="HA44" s="171"/>
      <c r="HB44" s="188"/>
      <c r="HC44" s="174"/>
      <c r="HE44" s="179"/>
      <c r="HF44" s="189"/>
      <c r="HG44" s="171"/>
      <c r="HH44" s="188"/>
      <c r="HI44" s="174"/>
      <c r="HK44" s="179"/>
      <c r="HL44" s="189"/>
      <c r="HM44" s="171"/>
      <c r="HN44" s="188"/>
      <c r="HO44" s="174"/>
      <c r="HQ44" s="179"/>
      <c r="HR44" s="189"/>
      <c r="HS44" s="171"/>
      <c r="HT44" s="188"/>
      <c r="HU44" s="174"/>
      <c r="HW44" s="179"/>
      <c r="HX44" s="189"/>
      <c r="HY44" s="171"/>
      <c r="HZ44" s="188"/>
      <c r="IA44" s="174"/>
      <c r="IC44" s="179"/>
      <c r="ID44" s="189"/>
      <c r="IE44" s="171"/>
      <c r="IF44" s="188"/>
      <c r="IG44" s="174"/>
      <c r="II44" s="179"/>
      <c r="IJ44" s="189"/>
      <c r="IK44" s="171"/>
      <c r="IL44" s="188"/>
      <c r="IM44" s="174"/>
      <c r="IO44" s="179"/>
      <c r="IP44" s="189"/>
      <c r="IQ44" s="171"/>
      <c r="IR44" s="188"/>
      <c r="IS44" s="174"/>
      <c r="IU44" s="179"/>
      <c r="IV44" s="187"/>
    </row>
    <row r="45" spans="1:256" s="174" customFormat="1">
      <c r="A45" s="734"/>
      <c r="B45" s="580"/>
      <c r="C45" s="328">
        <v>20</v>
      </c>
      <c r="D45" s="329" t="s">
        <v>108</v>
      </c>
      <c r="E45" s="828"/>
      <c r="F45" s="911">
        <f t="shared" si="1"/>
        <v>0</v>
      </c>
      <c r="H45" s="173"/>
      <c r="I45" s="179"/>
      <c r="J45" s="189"/>
      <c r="K45" s="171"/>
      <c r="L45" s="188"/>
      <c r="N45" s="173"/>
      <c r="O45" s="179"/>
      <c r="P45" s="189"/>
      <c r="Q45" s="171"/>
      <c r="R45" s="188"/>
      <c r="T45" s="173"/>
      <c r="U45" s="179"/>
      <c r="V45" s="189"/>
      <c r="W45" s="171"/>
      <c r="X45" s="188"/>
      <c r="Z45" s="173"/>
      <c r="AA45" s="179"/>
      <c r="AB45" s="189"/>
      <c r="AC45" s="171"/>
      <c r="AD45" s="188"/>
      <c r="AF45" s="173"/>
      <c r="AG45" s="179"/>
      <c r="AH45" s="189"/>
      <c r="AI45" s="171"/>
      <c r="AJ45" s="188"/>
      <c r="AL45" s="173"/>
      <c r="AM45" s="179"/>
      <c r="AN45" s="189"/>
      <c r="AO45" s="171"/>
      <c r="AP45" s="188"/>
      <c r="AR45" s="173"/>
      <c r="AS45" s="179"/>
      <c r="AT45" s="189"/>
      <c r="AU45" s="171"/>
      <c r="AV45" s="188"/>
      <c r="AX45" s="173"/>
      <c r="AY45" s="179"/>
      <c r="AZ45" s="189"/>
      <c r="BA45" s="171"/>
      <c r="BB45" s="188"/>
      <c r="BD45" s="173"/>
      <c r="BE45" s="179"/>
      <c r="BF45" s="189"/>
      <c r="BG45" s="171"/>
      <c r="BH45" s="188"/>
      <c r="BJ45" s="173"/>
      <c r="BK45" s="179"/>
      <c r="BL45" s="189"/>
      <c r="BM45" s="171"/>
      <c r="BN45" s="188"/>
      <c r="BP45" s="173"/>
      <c r="BQ45" s="179"/>
      <c r="BR45" s="189"/>
      <c r="BS45" s="171"/>
      <c r="BT45" s="188"/>
      <c r="BV45" s="173"/>
      <c r="BW45" s="179"/>
      <c r="BX45" s="189"/>
      <c r="BY45" s="171"/>
      <c r="BZ45" s="188"/>
      <c r="CB45" s="173"/>
      <c r="CC45" s="179"/>
      <c r="CD45" s="189"/>
      <c r="CE45" s="171"/>
      <c r="CF45" s="188"/>
      <c r="CH45" s="173"/>
      <c r="CI45" s="179"/>
      <c r="CJ45" s="189"/>
      <c r="CK45" s="171"/>
      <c r="CL45" s="188"/>
      <c r="CN45" s="173"/>
      <c r="CO45" s="179"/>
      <c r="CP45" s="189"/>
      <c r="CQ45" s="171"/>
      <c r="CR45" s="188"/>
      <c r="CT45" s="173"/>
      <c r="CU45" s="179"/>
      <c r="CV45" s="189"/>
      <c r="CW45" s="171"/>
      <c r="CX45" s="188"/>
      <c r="CZ45" s="173"/>
      <c r="DA45" s="179"/>
      <c r="DB45" s="189"/>
      <c r="DC45" s="171"/>
      <c r="DD45" s="188"/>
      <c r="DF45" s="173"/>
      <c r="DG45" s="179"/>
      <c r="DH45" s="189"/>
      <c r="DI45" s="171"/>
      <c r="DJ45" s="188"/>
      <c r="DL45" s="173"/>
      <c r="DM45" s="179"/>
      <c r="DN45" s="189"/>
      <c r="DO45" s="171"/>
      <c r="DP45" s="188"/>
      <c r="DR45" s="173"/>
      <c r="DS45" s="179"/>
      <c r="DT45" s="189"/>
      <c r="DU45" s="171"/>
      <c r="DV45" s="188"/>
      <c r="DX45" s="173"/>
      <c r="DY45" s="179"/>
      <c r="DZ45" s="189"/>
      <c r="EA45" s="171"/>
      <c r="EB45" s="188"/>
      <c r="ED45" s="173"/>
      <c r="EE45" s="179"/>
      <c r="EF45" s="189"/>
      <c r="EG45" s="171"/>
      <c r="EH45" s="188"/>
      <c r="EJ45" s="173"/>
      <c r="EK45" s="179"/>
      <c r="EL45" s="189"/>
      <c r="EM45" s="171"/>
      <c r="EN45" s="188"/>
      <c r="EP45" s="173"/>
      <c r="EQ45" s="179"/>
      <c r="ER45" s="189"/>
      <c r="ES45" s="171"/>
      <c r="ET45" s="188"/>
      <c r="EV45" s="173"/>
      <c r="EW45" s="179"/>
      <c r="EX45" s="189"/>
      <c r="EY45" s="171"/>
      <c r="EZ45" s="188"/>
      <c r="FB45" s="173"/>
      <c r="FC45" s="179"/>
      <c r="FD45" s="189"/>
      <c r="FE45" s="171"/>
      <c r="FF45" s="188"/>
      <c r="FH45" s="173"/>
      <c r="FI45" s="179"/>
      <c r="FJ45" s="189"/>
      <c r="FK45" s="171"/>
      <c r="FL45" s="188"/>
      <c r="FN45" s="173"/>
      <c r="FO45" s="179"/>
      <c r="FP45" s="189"/>
      <c r="FQ45" s="171"/>
      <c r="FR45" s="188"/>
      <c r="FT45" s="173"/>
      <c r="FU45" s="179"/>
      <c r="FV45" s="189"/>
      <c r="FW45" s="171"/>
      <c r="FX45" s="188"/>
      <c r="FZ45" s="173"/>
      <c r="GA45" s="179"/>
      <c r="GB45" s="189"/>
      <c r="GC45" s="171"/>
      <c r="GD45" s="188"/>
      <c r="GF45" s="173"/>
      <c r="GG45" s="179"/>
      <c r="GH45" s="189"/>
      <c r="GI45" s="171"/>
      <c r="GJ45" s="188"/>
      <c r="GL45" s="173"/>
      <c r="GM45" s="179"/>
      <c r="GN45" s="189"/>
      <c r="GO45" s="171"/>
      <c r="GP45" s="188"/>
      <c r="GR45" s="173"/>
      <c r="GS45" s="179"/>
      <c r="GT45" s="189"/>
      <c r="GU45" s="171"/>
      <c r="GV45" s="188"/>
      <c r="GX45" s="173"/>
      <c r="GY45" s="179"/>
      <c r="GZ45" s="189"/>
      <c r="HA45" s="171"/>
      <c r="HB45" s="188"/>
      <c r="HD45" s="173"/>
      <c r="HE45" s="179"/>
      <c r="HF45" s="189"/>
      <c r="HG45" s="171"/>
      <c r="HH45" s="188"/>
      <c r="HJ45" s="173"/>
      <c r="HK45" s="179"/>
      <c r="HL45" s="189"/>
      <c r="HM45" s="171"/>
      <c r="HN45" s="188"/>
      <c r="HP45" s="173"/>
      <c r="HQ45" s="179"/>
      <c r="HR45" s="189"/>
      <c r="HS45" s="171"/>
      <c r="HT45" s="188"/>
      <c r="HV45" s="173"/>
      <c r="HW45" s="179"/>
      <c r="HX45" s="189"/>
      <c r="HY45" s="171"/>
      <c r="HZ45" s="188"/>
      <c r="IB45" s="173"/>
      <c r="IC45" s="179"/>
      <c r="ID45" s="189"/>
      <c r="IE45" s="171"/>
      <c r="IF45" s="188"/>
      <c r="IH45" s="173"/>
      <c r="II45" s="179"/>
      <c r="IJ45" s="189"/>
      <c r="IK45" s="171"/>
      <c r="IL45" s="188"/>
      <c r="IN45" s="173"/>
      <c r="IO45" s="179"/>
      <c r="IP45" s="189"/>
      <c r="IQ45" s="171"/>
      <c r="IR45" s="188"/>
      <c r="IT45" s="173"/>
      <c r="IU45" s="179"/>
      <c r="IV45" s="187"/>
    </row>
    <row r="46" spans="1:256" s="174" customFormat="1">
      <c r="A46" s="734"/>
      <c r="B46" s="580"/>
      <c r="C46" s="328"/>
      <c r="D46" s="329"/>
      <c r="E46" s="825"/>
      <c r="F46" s="911"/>
      <c r="H46" s="173"/>
      <c r="I46" s="179"/>
      <c r="J46" s="189"/>
      <c r="K46" s="171"/>
      <c r="L46" s="188"/>
      <c r="N46" s="173"/>
      <c r="O46" s="179"/>
      <c r="P46" s="189"/>
      <c r="Q46" s="171"/>
      <c r="R46" s="188"/>
      <c r="T46" s="173"/>
      <c r="U46" s="179"/>
      <c r="V46" s="189"/>
      <c r="W46" s="171"/>
      <c r="X46" s="188"/>
      <c r="Z46" s="173"/>
      <c r="AA46" s="179"/>
      <c r="AB46" s="189"/>
      <c r="AC46" s="171"/>
      <c r="AD46" s="188"/>
      <c r="AF46" s="173"/>
      <c r="AG46" s="179"/>
      <c r="AH46" s="189"/>
      <c r="AI46" s="171"/>
      <c r="AJ46" s="188"/>
      <c r="AL46" s="173"/>
      <c r="AM46" s="179"/>
      <c r="AN46" s="189"/>
      <c r="AO46" s="171"/>
      <c r="AP46" s="188"/>
      <c r="AR46" s="173"/>
      <c r="AS46" s="179"/>
      <c r="AT46" s="189"/>
      <c r="AU46" s="171"/>
      <c r="AV46" s="188"/>
      <c r="AX46" s="173"/>
      <c r="AY46" s="179"/>
      <c r="AZ46" s="189"/>
      <c r="BA46" s="171"/>
      <c r="BB46" s="188"/>
      <c r="BD46" s="173"/>
      <c r="BE46" s="179"/>
      <c r="BF46" s="189"/>
      <c r="BG46" s="171"/>
      <c r="BH46" s="188"/>
      <c r="BJ46" s="173"/>
      <c r="BK46" s="179"/>
      <c r="BL46" s="189"/>
      <c r="BM46" s="171"/>
      <c r="BN46" s="188"/>
      <c r="BP46" s="173"/>
      <c r="BQ46" s="179"/>
      <c r="BR46" s="189"/>
      <c r="BS46" s="171"/>
      <c r="BT46" s="188"/>
      <c r="BV46" s="173"/>
      <c r="BW46" s="179"/>
      <c r="BX46" s="189"/>
      <c r="BY46" s="171"/>
      <c r="BZ46" s="188"/>
      <c r="CB46" s="173"/>
      <c r="CC46" s="179"/>
      <c r="CD46" s="189"/>
      <c r="CE46" s="171"/>
      <c r="CF46" s="188"/>
      <c r="CH46" s="173"/>
      <c r="CI46" s="179"/>
      <c r="CJ46" s="189"/>
      <c r="CK46" s="171"/>
      <c r="CL46" s="188"/>
      <c r="CN46" s="173"/>
      <c r="CO46" s="179"/>
      <c r="CP46" s="189"/>
      <c r="CQ46" s="171"/>
      <c r="CR46" s="188"/>
      <c r="CT46" s="173"/>
      <c r="CU46" s="179"/>
      <c r="CV46" s="189"/>
      <c r="CW46" s="171"/>
      <c r="CX46" s="188"/>
      <c r="CZ46" s="173"/>
      <c r="DA46" s="179"/>
      <c r="DB46" s="189"/>
      <c r="DC46" s="171"/>
      <c r="DD46" s="188"/>
      <c r="DF46" s="173"/>
      <c r="DG46" s="179"/>
      <c r="DH46" s="189"/>
      <c r="DI46" s="171"/>
      <c r="DJ46" s="188"/>
      <c r="DL46" s="173"/>
      <c r="DM46" s="179"/>
      <c r="DN46" s="189"/>
      <c r="DO46" s="171"/>
      <c r="DP46" s="188"/>
      <c r="DR46" s="173"/>
      <c r="DS46" s="179"/>
      <c r="DT46" s="189"/>
      <c r="DU46" s="171"/>
      <c r="DV46" s="188"/>
      <c r="DX46" s="173"/>
      <c r="DY46" s="179"/>
      <c r="DZ46" s="189"/>
      <c r="EA46" s="171"/>
      <c r="EB46" s="188"/>
      <c r="ED46" s="173"/>
      <c r="EE46" s="179"/>
      <c r="EF46" s="189"/>
      <c r="EG46" s="171"/>
      <c r="EH46" s="188"/>
      <c r="EJ46" s="173"/>
      <c r="EK46" s="179"/>
      <c r="EL46" s="189"/>
      <c r="EM46" s="171"/>
      <c r="EN46" s="188"/>
      <c r="EP46" s="173"/>
      <c r="EQ46" s="179"/>
      <c r="ER46" s="189"/>
      <c r="ES46" s="171"/>
      <c r="ET46" s="188"/>
      <c r="EV46" s="173"/>
      <c r="EW46" s="179"/>
      <c r="EX46" s="189"/>
      <c r="EY46" s="171"/>
      <c r="EZ46" s="188"/>
      <c r="FB46" s="173"/>
      <c r="FC46" s="179"/>
      <c r="FD46" s="189"/>
      <c r="FE46" s="171"/>
      <c r="FF46" s="188"/>
      <c r="FH46" s="173"/>
      <c r="FI46" s="179"/>
      <c r="FJ46" s="189"/>
      <c r="FK46" s="171"/>
      <c r="FL46" s="188"/>
      <c r="FN46" s="173"/>
      <c r="FO46" s="179"/>
      <c r="FP46" s="189"/>
      <c r="FQ46" s="171"/>
      <c r="FR46" s="188"/>
      <c r="FT46" s="173"/>
      <c r="FU46" s="179"/>
      <c r="FV46" s="189"/>
      <c r="FW46" s="171"/>
      <c r="FX46" s="188"/>
      <c r="FZ46" s="173"/>
      <c r="GA46" s="179"/>
      <c r="GB46" s="189"/>
      <c r="GC46" s="171"/>
      <c r="GD46" s="188"/>
      <c r="GF46" s="173"/>
      <c r="GG46" s="179"/>
      <c r="GH46" s="189"/>
      <c r="GI46" s="171"/>
      <c r="GJ46" s="188"/>
      <c r="GL46" s="173"/>
      <c r="GM46" s="179"/>
      <c r="GN46" s="189"/>
      <c r="GO46" s="171"/>
      <c r="GP46" s="188"/>
      <c r="GR46" s="173"/>
      <c r="GS46" s="179"/>
      <c r="GT46" s="189"/>
      <c r="GU46" s="171"/>
      <c r="GV46" s="188"/>
      <c r="GX46" s="173"/>
      <c r="GY46" s="179"/>
      <c r="GZ46" s="189"/>
      <c r="HA46" s="171"/>
      <c r="HB46" s="188"/>
      <c r="HD46" s="173"/>
      <c r="HE46" s="179"/>
      <c r="HF46" s="189"/>
      <c r="HG46" s="171"/>
      <c r="HH46" s="188"/>
      <c r="HJ46" s="173"/>
      <c r="HK46" s="179"/>
      <c r="HL46" s="189"/>
      <c r="HM46" s="171"/>
      <c r="HN46" s="188"/>
      <c r="HP46" s="173"/>
      <c r="HQ46" s="179"/>
      <c r="HR46" s="189"/>
      <c r="HS46" s="171"/>
      <c r="HT46" s="188"/>
      <c r="HV46" s="173"/>
      <c r="HW46" s="179"/>
      <c r="HX46" s="189"/>
      <c r="HY46" s="171"/>
      <c r="HZ46" s="188"/>
      <c r="IB46" s="173"/>
      <c r="IC46" s="179"/>
      <c r="ID46" s="189"/>
      <c r="IE46" s="171"/>
      <c r="IF46" s="188"/>
      <c r="IH46" s="173"/>
      <c r="II46" s="179"/>
      <c r="IJ46" s="189"/>
      <c r="IK46" s="171"/>
      <c r="IL46" s="188"/>
      <c r="IN46" s="173"/>
      <c r="IO46" s="179"/>
      <c r="IP46" s="189"/>
      <c r="IQ46" s="171"/>
      <c r="IR46" s="188"/>
      <c r="IT46" s="173"/>
      <c r="IU46" s="179"/>
      <c r="IV46" s="187"/>
    </row>
    <row r="47" spans="1:256" s="174" customFormat="1" ht="25.5">
      <c r="A47" s="734" t="s">
        <v>286</v>
      </c>
      <c r="B47" s="580" t="s">
        <v>287</v>
      </c>
      <c r="C47" s="328"/>
      <c r="D47" s="329"/>
      <c r="E47" s="825"/>
      <c r="F47" s="911"/>
      <c r="H47" s="173"/>
      <c r="I47" s="179"/>
      <c r="J47" s="189"/>
      <c r="K47" s="171"/>
      <c r="L47" s="188"/>
      <c r="N47" s="173"/>
      <c r="O47" s="179"/>
      <c r="P47" s="189"/>
      <c r="Q47" s="171"/>
      <c r="R47" s="188"/>
      <c r="T47" s="173"/>
      <c r="U47" s="179"/>
      <c r="V47" s="189"/>
      <c r="W47" s="171"/>
      <c r="X47" s="188"/>
      <c r="Z47" s="173"/>
      <c r="AA47" s="179"/>
      <c r="AB47" s="189"/>
      <c r="AC47" s="171"/>
      <c r="AD47" s="188"/>
      <c r="AF47" s="173"/>
      <c r="AG47" s="179"/>
      <c r="AH47" s="189"/>
      <c r="AI47" s="171"/>
      <c r="AJ47" s="188"/>
      <c r="AL47" s="173"/>
      <c r="AM47" s="179"/>
      <c r="AN47" s="189"/>
      <c r="AO47" s="171"/>
      <c r="AP47" s="188"/>
      <c r="AR47" s="173"/>
      <c r="AS47" s="179"/>
      <c r="AT47" s="189"/>
      <c r="AU47" s="171"/>
      <c r="AV47" s="188"/>
      <c r="AX47" s="173"/>
      <c r="AY47" s="179"/>
      <c r="AZ47" s="189"/>
      <c r="BA47" s="171"/>
      <c r="BB47" s="188"/>
      <c r="BD47" s="173"/>
      <c r="BE47" s="179"/>
      <c r="BF47" s="189"/>
      <c r="BG47" s="171"/>
      <c r="BH47" s="188"/>
      <c r="BJ47" s="173"/>
      <c r="BK47" s="179"/>
      <c r="BL47" s="189"/>
      <c r="BM47" s="171"/>
      <c r="BN47" s="188"/>
      <c r="BP47" s="173"/>
      <c r="BQ47" s="179"/>
      <c r="BR47" s="189"/>
      <c r="BS47" s="171"/>
      <c r="BT47" s="188"/>
      <c r="BV47" s="173"/>
      <c r="BW47" s="179"/>
      <c r="BX47" s="189"/>
      <c r="BY47" s="171"/>
      <c r="BZ47" s="188"/>
      <c r="CB47" s="173"/>
      <c r="CC47" s="179"/>
      <c r="CD47" s="189"/>
      <c r="CE47" s="171"/>
      <c r="CF47" s="188"/>
      <c r="CH47" s="173"/>
      <c r="CI47" s="179"/>
      <c r="CJ47" s="189"/>
      <c r="CK47" s="171"/>
      <c r="CL47" s="188"/>
      <c r="CN47" s="173"/>
      <c r="CO47" s="179"/>
      <c r="CP47" s="189"/>
      <c r="CQ47" s="171"/>
      <c r="CR47" s="188"/>
      <c r="CT47" s="173"/>
      <c r="CU47" s="179"/>
      <c r="CV47" s="189"/>
      <c r="CW47" s="171"/>
      <c r="CX47" s="188"/>
      <c r="CZ47" s="173"/>
      <c r="DA47" s="179"/>
      <c r="DB47" s="189"/>
      <c r="DC47" s="171"/>
      <c r="DD47" s="188"/>
      <c r="DF47" s="173"/>
      <c r="DG47" s="179"/>
      <c r="DH47" s="189"/>
      <c r="DI47" s="171"/>
      <c r="DJ47" s="188"/>
      <c r="DL47" s="173"/>
      <c r="DM47" s="179"/>
      <c r="DN47" s="189"/>
      <c r="DO47" s="171"/>
      <c r="DP47" s="188"/>
      <c r="DR47" s="173"/>
      <c r="DS47" s="179"/>
      <c r="DT47" s="189"/>
      <c r="DU47" s="171"/>
      <c r="DV47" s="188"/>
      <c r="DX47" s="173"/>
      <c r="DY47" s="179"/>
      <c r="DZ47" s="189"/>
      <c r="EA47" s="171"/>
      <c r="EB47" s="188"/>
      <c r="ED47" s="173"/>
      <c r="EE47" s="179"/>
      <c r="EF47" s="189"/>
      <c r="EG47" s="171"/>
      <c r="EH47" s="188"/>
      <c r="EJ47" s="173"/>
      <c r="EK47" s="179"/>
      <c r="EL47" s="189"/>
      <c r="EM47" s="171"/>
      <c r="EN47" s="188"/>
      <c r="EP47" s="173"/>
      <c r="EQ47" s="179"/>
      <c r="ER47" s="189"/>
      <c r="ES47" s="171"/>
      <c r="ET47" s="188"/>
      <c r="EV47" s="173"/>
      <c r="EW47" s="179"/>
      <c r="EX47" s="189"/>
      <c r="EY47" s="171"/>
      <c r="EZ47" s="188"/>
      <c r="FB47" s="173"/>
      <c r="FC47" s="179"/>
      <c r="FD47" s="189"/>
      <c r="FE47" s="171"/>
      <c r="FF47" s="188"/>
      <c r="FH47" s="173"/>
      <c r="FI47" s="179"/>
      <c r="FJ47" s="189"/>
      <c r="FK47" s="171"/>
      <c r="FL47" s="188"/>
      <c r="FN47" s="173"/>
      <c r="FO47" s="179"/>
      <c r="FP47" s="189"/>
      <c r="FQ47" s="171"/>
      <c r="FR47" s="188"/>
      <c r="FT47" s="173"/>
      <c r="FU47" s="179"/>
      <c r="FV47" s="189"/>
      <c r="FW47" s="171"/>
      <c r="FX47" s="188"/>
      <c r="FZ47" s="173"/>
      <c r="GA47" s="179"/>
      <c r="GB47" s="189"/>
      <c r="GC47" s="171"/>
      <c r="GD47" s="188"/>
      <c r="GF47" s="173"/>
      <c r="GG47" s="179"/>
      <c r="GH47" s="189"/>
      <c r="GI47" s="171"/>
      <c r="GJ47" s="188"/>
      <c r="GL47" s="173"/>
      <c r="GM47" s="179"/>
      <c r="GN47" s="189"/>
      <c r="GO47" s="171"/>
      <c r="GP47" s="188"/>
      <c r="GR47" s="173"/>
      <c r="GS47" s="179"/>
      <c r="GT47" s="189"/>
      <c r="GU47" s="171"/>
      <c r="GV47" s="188"/>
      <c r="GX47" s="173"/>
      <c r="GY47" s="179"/>
      <c r="GZ47" s="189"/>
      <c r="HA47" s="171"/>
      <c r="HB47" s="188"/>
      <c r="HD47" s="173"/>
      <c r="HE47" s="179"/>
      <c r="HF47" s="189"/>
      <c r="HG47" s="171"/>
      <c r="HH47" s="188"/>
      <c r="HJ47" s="173"/>
      <c r="HK47" s="179"/>
      <c r="HL47" s="189"/>
      <c r="HM47" s="171"/>
      <c r="HN47" s="188"/>
      <c r="HP47" s="173"/>
      <c r="HQ47" s="179"/>
      <c r="HR47" s="189"/>
      <c r="HS47" s="171"/>
      <c r="HT47" s="188"/>
      <c r="HV47" s="173"/>
      <c r="HW47" s="179"/>
      <c r="HX47" s="189"/>
      <c r="HY47" s="171"/>
      <c r="HZ47" s="188"/>
      <c r="IB47" s="173"/>
      <c r="IC47" s="179"/>
      <c r="ID47" s="189"/>
      <c r="IE47" s="171"/>
      <c r="IF47" s="188"/>
      <c r="IH47" s="173"/>
      <c r="II47" s="179"/>
      <c r="IJ47" s="189"/>
      <c r="IK47" s="171"/>
      <c r="IL47" s="188"/>
      <c r="IN47" s="173"/>
      <c r="IO47" s="179"/>
      <c r="IP47" s="189"/>
      <c r="IQ47" s="171"/>
      <c r="IR47" s="188"/>
      <c r="IT47" s="173"/>
      <c r="IU47" s="179"/>
      <c r="IV47" s="187"/>
    </row>
    <row r="48" spans="1:256" s="174" customFormat="1">
      <c r="A48" s="734"/>
      <c r="B48" s="580"/>
      <c r="C48" s="328">
        <v>100</v>
      </c>
      <c r="D48" s="329" t="s">
        <v>108</v>
      </c>
      <c r="E48" s="828"/>
      <c r="F48" s="911">
        <f t="shared" si="1"/>
        <v>0</v>
      </c>
      <c r="H48" s="173"/>
      <c r="I48" s="179"/>
      <c r="J48" s="189"/>
      <c r="K48" s="171"/>
      <c r="L48" s="188"/>
      <c r="N48" s="173"/>
      <c r="O48" s="179"/>
      <c r="P48" s="189"/>
      <c r="Q48" s="171"/>
      <c r="R48" s="188"/>
      <c r="T48" s="173"/>
      <c r="U48" s="179"/>
      <c r="V48" s="189"/>
      <c r="W48" s="171"/>
      <c r="X48" s="188"/>
      <c r="Z48" s="173"/>
      <c r="AA48" s="179"/>
      <c r="AB48" s="189"/>
      <c r="AC48" s="171"/>
      <c r="AD48" s="188"/>
      <c r="AF48" s="173"/>
      <c r="AG48" s="179"/>
      <c r="AH48" s="189"/>
      <c r="AI48" s="171"/>
      <c r="AJ48" s="188"/>
      <c r="AL48" s="173"/>
      <c r="AM48" s="179"/>
      <c r="AN48" s="189"/>
      <c r="AO48" s="171"/>
      <c r="AP48" s="188"/>
      <c r="AR48" s="173"/>
      <c r="AS48" s="179"/>
      <c r="AT48" s="189"/>
      <c r="AU48" s="171"/>
      <c r="AV48" s="188"/>
      <c r="AX48" s="173"/>
      <c r="AY48" s="179"/>
      <c r="AZ48" s="189"/>
      <c r="BA48" s="171"/>
      <c r="BB48" s="188"/>
      <c r="BD48" s="173"/>
      <c r="BE48" s="179"/>
      <c r="BF48" s="189"/>
      <c r="BG48" s="171"/>
      <c r="BH48" s="188"/>
      <c r="BJ48" s="173"/>
      <c r="BK48" s="179"/>
      <c r="BL48" s="189"/>
      <c r="BM48" s="171"/>
      <c r="BN48" s="188"/>
      <c r="BP48" s="173"/>
      <c r="BQ48" s="179"/>
      <c r="BR48" s="189"/>
      <c r="BS48" s="171"/>
      <c r="BT48" s="188"/>
      <c r="BV48" s="173"/>
      <c r="BW48" s="179"/>
      <c r="BX48" s="189"/>
      <c r="BY48" s="171"/>
      <c r="BZ48" s="188"/>
      <c r="CB48" s="173"/>
      <c r="CC48" s="179"/>
      <c r="CD48" s="189"/>
      <c r="CE48" s="171"/>
      <c r="CF48" s="188"/>
      <c r="CH48" s="173"/>
      <c r="CI48" s="179"/>
      <c r="CJ48" s="189"/>
      <c r="CK48" s="171"/>
      <c r="CL48" s="188"/>
      <c r="CN48" s="173"/>
      <c r="CO48" s="179"/>
      <c r="CP48" s="189"/>
      <c r="CQ48" s="171"/>
      <c r="CR48" s="188"/>
      <c r="CT48" s="173"/>
      <c r="CU48" s="179"/>
      <c r="CV48" s="189"/>
      <c r="CW48" s="171"/>
      <c r="CX48" s="188"/>
      <c r="CZ48" s="173"/>
      <c r="DA48" s="179"/>
      <c r="DB48" s="189"/>
      <c r="DC48" s="171"/>
      <c r="DD48" s="188"/>
      <c r="DF48" s="173"/>
      <c r="DG48" s="179"/>
      <c r="DH48" s="189"/>
      <c r="DI48" s="171"/>
      <c r="DJ48" s="188"/>
      <c r="DL48" s="173"/>
      <c r="DM48" s="179"/>
      <c r="DN48" s="189"/>
      <c r="DO48" s="171"/>
      <c r="DP48" s="188"/>
      <c r="DR48" s="173"/>
      <c r="DS48" s="179"/>
      <c r="DT48" s="189"/>
      <c r="DU48" s="171"/>
      <c r="DV48" s="188"/>
      <c r="DX48" s="173"/>
      <c r="DY48" s="179"/>
      <c r="DZ48" s="189"/>
      <c r="EA48" s="171"/>
      <c r="EB48" s="188"/>
      <c r="ED48" s="173"/>
      <c r="EE48" s="179"/>
      <c r="EF48" s="189"/>
      <c r="EG48" s="171"/>
      <c r="EH48" s="188"/>
      <c r="EJ48" s="173"/>
      <c r="EK48" s="179"/>
      <c r="EL48" s="189"/>
      <c r="EM48" s="171"/>
      <c r="EN48" s="188"/>
      <c r="EP48" s="173"/>
      <c r="EQ48" s="179"/>
      <c r="ER48" s="189"/>
      <c r="ES48" s="171"/>
      <c r="ET48" s="188"/>
      <c r="EV48" s="173"/>
      <c r="EW48" s="179"/>
      <c r="EX48" s="189"/>
      <c r="EY48" s="171"/>
      <c r="EZ48" s="188"/>
      <c r="FB48" s="173"/>
      <c r="FC48" s="179"/>
      <c r="FD48" s="189"/>
      <c r="FE48" s="171"/>
      <c r="FF48" s="188"/>
      <c r="FH48" s="173"/>
      <c r="FI48" s="179"/>
      <c r="FJ48" s="189"/>
      <c r="FK48" s="171"/>
      <c r="FL48" s="188"/>
      <c r="FN48" s="173"/>
      <c r="FO48" s="179"/>
      <c r="FP48" s="189"/>
      <c r="FQ48" s="171"/>
      <c r="FR48" s="188"/>
      <c r="FT48" s="173"/>
      <c r="FU48" s="179"/>
      <c r="FV48" s="189"/>
      <c r="FW48" s="171"/>
      <c r="FX48" s="188"/>
      <c r="FZ48" s="173"/>
      <c r="GA48" s="179"/>
      <c r="GB48" s="189"/>
      <c r="GC48" s="171"/>
      <c r="GD48" s="188"/>
      <c r="GF48" s="173"/>
      <c r="GG48" s="179"/>
      <c r="GH48" s="189"/>
      <c r="GI48" s="171"/>
      <c r="GJ48" s="188"/>
      <c r="GL48" s="173"/>
      <c r="GM48" s="179"/>
      <c r="GN48" s="189"/>
      <c r="GO48" s="171"/>
      <c r="GP48" s="188"/>
      <c r="GR48" s="173"/>
      <c r="GS48" s="179"/>
      <c r="GT48" s="189"/>
      <c r="GU48" s="171"/>
      <c r="GV48" s="188"/>
      <c r="GX48" s="173"/>
      <c r="GY48" s="179"/>
      <c r="GZ48" s="189"/>
      <c r="HA48" s="171"/>
      <c r="HB48" s="188"/>
      <c r="HD48" s="173"/>
      <c r="HE48" s="179"/>
      <c r="HF48" s="189"/>
      <c r="HG48" s="171"/>
      <c r="HH48" s="188"/>
      <c r="HJ48" s="173"/>
      <c r="HK48" s="179"/>
      <c r="HL48" s="189"/>
      <c r="HM48" s="171"/>
      <c r="HN48" s="188"/>
      <c r="HP48" s="173"/>
      <c r="HQ48" s="179"/>
      <c r="HR48" s="189"/>
      <c r="HS48" s="171"/>
      <c r="HT48" s="188"/>
      <c r="HV48" s="173"/>
      <c r="HW48" s="179"/>
      <c r="HX48" s="189"/>
      <c r="HY48" s="171"/>
      <c r="HZ48" s="188"/>
      <c r="IB48" s="173"/>
      <c r="IC48" s="179"/>
      <c r="ID48" s="189"/>
      <c r="IE48" s="171"/>
      <c r="IF48" s="188"/>
      <c r="IH48" s="173"/>
      <c r="II48" s="179"/>
      <c r="IJ48" s="189"/>
      <c r="IK48" s="171"/>
      <c r="IL48" s="188"/>
      <c r="IN48" s="173"/>
      <c r="IO48" s="179"/>
      <c r="IP48" s="189"/>
      <c r="IQ48" s="171"/>
      <c r="IR48" s="188"/>
      <c r="IT48" s="173"/>
      <c r="IU48" s="179"/>
      <c r="IV48" s="187"/>
    </row>
    <row r="49" spans="1:256" s="174" customFormat="1">
      <c r="A49" s="734"/>
      <c r="B49" s="580"/>
      <c r="C49" s="328"/>
      <c r="D49" s="329"/>
      <c r="E49" s="825"/>
      <c r="F49" s="911"/>
      <c r="H49" s="173"/>
      <c r="I49" s="179"/>
      <c r="J49" s="189"/>
      <c r="K49" s="171"/>
      <c r="L49" s="188"/>
      <c r="N49" s="173"/>
      <c r="O49" s="179"/>
      <c r="P49" s="189"/>
      <c r="Q49" s="171"/>
      <c r="R49" s="188"/>
      <c r="T49" s="173"/>
      <c r="U49" s="179"/>
      <c r="V49" s="189"/>
      <c r="W49" s="171"/>
      <c r="X49" s="188"/>
      <c r="Z49" s="173"/>
      <c r="AA49" s="179"/>
      <c r="AB49" s="189"/>
      <c r="AC49" s="171"/>
      <c r="AD49" s="188"/>
      <c r="AF49" s="173"/>
      <c r="AG49" s="179"/>
      <c r="AH49" s="189"/>
      <c r="AI49" s="171"/>
      <c r="AJ49" s="188"/>
      <c r="AL49" s="173"/>
      <c r="AM49" s="179"/>
      <c r="AN49" s="189"/>
      <c r="AO49" s="171"/>
      <c r="AP49" s="188"/>
      <c r="AR49" s="173"/>
      <c r="AS49" s="179"/>
      <c r="AT49" s="189"/>
      <c r="AU49" s="171"/>
      <c r="AV49" s="188"/>
      <c r="AX49" s="173"/>
      <c r="AY49" s="179"/>
      <c r="AZ49" s="189"/>
      <c r="BA49" s="171"/>
      <c r="BB49" s="188"/>
      <c r="BD49" s="173"/>
      <c r="BE49" s="179"/>
      <c r="BF49" s="189"/>
      <c r="BG49" s="171"/>
      <c r="BH49" s="188"/>
      <c r="BJ49" s="173"/>
      <c r="BK49" s="179"/>
      <c r="BL49" s="189"/>
      <c r="BM49" s="171"/>
      <c r="BN49" s="188"/>
      <c r="BP49" s="173"/>
      <c r="BQ49" s="179"/>
      <c r="BR49" s="189"/>
      <c r="BS49" s="171"/>
      <c r="BT49" s="188"/>
      <c r="BV49" s="173"/>
      <c r="BW49" s="179"/>
      <c r="BX49" s="189"/>
      <c r="BY49" s="171"/>
      <c r="BZ49" s="188"/>
      <c r="CB49" s="173"/>
      <c r="CC49" s="179"/>
      <c r="CD49" s="189"/>
      <c r="CE49" s="171"/>
      <c r="CF49" s="188"/>
      <c r="CH49" s="173"/>
      <c r="CI49" s="179"/>
      <c r="CJ49" s="189"/>
      <c r="CK49" s="171"/>
      <c r="CL49" s="188"/>
      <c r="CN49" s="173"/>
      <c r="CO49" s="179"/>
      <c r="CP49" s="189"/>
      <c r="CQ49" s="171"/>
      <c r="CR49" s="188"/>
      <c r="CT49" s="173"/>
      <c r="CU49" s="179"/>
      <c r="CV49" s="189"/>
      <c r="CW49" s="171"/>
      <c r="CX49" s="188"/>
      <c r="CZ49" s="173"/>
      <c r="DA49" s="179"/>
      <c r="DB49" s="189"/>
      <c r="DC49" s="171"/>
      <c r="DD49" s="188"/>
      <c r="DF49" s="173"/>
      <c r="DG49" s="179"/>
      <c r="DH49" s="189"/>
      <c r="DI49" s="171"/>
      <c r="DJ49" s="188"/>
      <c r="DL49" s="173"/>
      <c r="DM49" s="179"/>
      <c r="DN49" s="189"/>
      <c r="DO49" s="171"/>
      <c r="DP49" s="188"/>
      <c r="DR49" s="173"/>
      <c r="DS49" s="179"/>
      <c r="DT49" s="189"/>
      <c r="DU49" s="171"/>
      <c r="DV49" s="188"/>
      <c r="DX49" s="173"/>
      <c r="DY49" s="179"/>
      <c r="DZ49" s="189"/>
      <c r="EA49" s="171"/>
      <c r="EB49" s="188"/>
      <c r="ED49" s="173"/>
      <c r="EE49" s="179"/>
      <c r="EF49" s="189"/>
      <c r="EG49" s="171"/>
      <c r="EH49" s="188"/>
      <c r="EJ49" s="173"/>
      <c r="EK49" s="179"/>
      <c r="EL49" s="189"/>
      <c r="EM49" s="171"/>
      <c r="EN49" s="188"/>
      <c r="EP49" s="173"/>
      <c r="EQ49" s="179"/>
      <c r="ER49" s="189"/>
      <c r="ES49" s="171"/>
      <c r="ET49" s="188"/>
      <c r="EV49" s="173"/>
      <c r="EW49" s="179"/>
      <c r="EX49" s="189"/>
      <c r="EY49" s="171"/>
      <c r="EZ49" s="188"/>
      <c r="FB49" s="173"/>
      <c r="FC49" s="179"/>
      <c r="FD49" s="189"/>
      <c r="FE49" s="171"/>
      <c r="FF49" s="188"/>
      <c r="FH49" s="173"/>
      <c r="FI49" s="179"/>
      <c r="FJ49" s="189"/>
      <c r="FK49" s="171"/>
      <c r="FL49" s="188"/>
      <c r="FN49" s="173"/>
      <c r="FO49" s="179"/>
      <c r="FP49" s="189"/>
      <c r="FQ49" s="171"/>
      <c r="FR49" s="188"/>
      <c r="FT49" s="173"/>
      <c r="FU49" s="179"/>
      <c r="FV49" s="189"/>
      <c r="FW49" s="171"/>
      <c r="FX49" s="188"/>
      <c r="FZ49" s="173"/>
      <c r="GA49" s="179"/>
      <c r="GB49" s="189"/>
      <c r="GC49" s="171"/>
      <c r="GD49" s="188"/>
      <c r="GF49" s="173"/>
      <c r="GG49" s="179"/>
      <c r="GH49" s="189"/>
      <c r="GI49" s="171"/>
      <c r="GJ49" s="188"/>
      <c r="GL49" s="173"/>
      <c r="GM49" s="179"/>
      <c r="GN49" s="189"/>
      <c r="GO49" s="171"/>
      <c r="GP49" s="188"/>
      <c r="GR49" s="173"/>
      <c r="GS49" s="179"/>
      <c r="GT49" s="189"/>
      <c r="GU49" s="171"/>
      <c r="GV49" s="188"/>
      <c r="GX49" s="173"/>
      <c r="GY49" s="179"/>
      <c r="GZ49" s="189"/>
      <c r="HA49" s="171"/>
      <c r="HB49" s="188"/>
      <c r="HD49" s="173"/>
      <c r="HE49" s="179"/>
      <c r="HF49" s="189"/>
      <c r="HG49" s="171"/>
      <c r="HH49" s="188"/>
      <c r="HJ49" s="173"/>
      <c r="HK49" s="179"/>
      <c r="HL49" s="189"/>
      <c r="HM49" s="171"/>
      <c r="HN49" s="188"/>
      <c r="HP49" s="173"/>
      <c r="HQ49" s="179"/>
      <c r="HR49" s="189"/>
      <c r="HS49" s="171"/>
      <c r="HT49" s="188"/>
      <c r="HV49" s="173"/>
      <c r="HW49" s="179"/>
      <c r="HX49" s="189"/>
      <c r="HY49" s="171"/>
      <c r="HZ49" s="188"/>
      <c r="IB49" s="173"/>
      <c r="IC49" s="179"/>
      <c r="ID49" s="189"/>
      <c r="IE49" s="171"/>
      <c r="IF49" s="188"/>
      <c r="IH49" s="173"/>
      <c r="II49" s="179"/>
      <c r="IJ49" s="189"/>
      <c r="IK49" s="171"/>
      <c r="IL49" s="188"/>
      <c r="IN49" s="173"/>
      <c r="IO49" s="179"/>
      <c r="IP49" s="189"/>
      <c r="IQ49" s="171"/>
      <c r="IR49" s="188"/>
      <c r="IT49" s="173"/>
      <c r="IU49" s="179"/>
      <c r="IV49" s="187"/>
    </row>
    <row r="50" spans="1:256" s="174" customFormat="1" ht="25.5">
      <c r="A50" s="734" t="s">
        <v>288</v>
      </c>
      <c r="B50" s="580" t="s">
        <v>289</v>
      </c>
      <c r="C50" s="328"/>
      <c r="D50" s="329"/>
      <c r="E50" s="825"/>
      <c r="F50" s="911"/>
      <c r="H50" s="173"/>
      <c r="I50" s="179"/>
      <c r="J50" s="189"/>
      <c r="K50" s="171"/>
      <c r="L50" s="188"/>
      <c r="N50" s="173"/>
      <c r="O50" s="179"/>
      <c r="P50" s="189"/>
      <c r="Q50" s="171"/>
      <c r="R50" s="188"/>
      <c r="T50" s="173"/>
      <c r="U50" s="179"/>
      <c r="V50" s="189"/>
      <c r="W50" s="171"/>
      <c r="X50" s="188"/>
      <c r="Z50" s="173"/>
      <c r="AA50" s="179"/>
      <c r="AB50" s="189"/>
      <c r="AC50" s="171"/>
      <c r="AD50" s="188"/>
      <c r="AF50" s="173"/>
      <c r="AG50" s="179"/>
      <c r="AH50" s="189"/>
      <c r="AI50" s="171"/>
      <c r="AJ50" s="188"/>
      <c r="AL50" s="173"/>
      <c r="AM50" s="179"/>
      <c r="AN50" s="189"/>
      <c r="AO50" s="171"/>
      <c r="AP50" s="188"/>
      <c r="AR50" s="173"/>
      <c r="AS50" s="179"/>
      <c r="AT50" s="189"/>
      <c r="AU50" s="171"/>
      <c r="AV50" s="188"/>
      <c r="AX50" s="173"/>
      <c r="AY50" s="179"/>
      <c r="AZ50" s="189"/>
      <c r="BA50" s="171"/>
      <c r="BB50" s="188"/>
      <c r="BD50" s="173"/>
      <c r="BE50" s="179"/>
      <c r="BF50" s="189"/>
      <c r="BG50" s="171"/>
      <c r="BH50" s="188"/>
      <c r="BJ50" s="173"/>
      <c r="BK50" s="179"/>
      <c r="BL50" s="189"/>
      <c r="BM50" s="171"/>
      <c r="BN50" s="188"/>
      <c r="BP50" s="173"/>
      <c r="BQ50" s="179"/>
      <c r="BR50" s="189"/>
      <c r="BS50" s="171"/>
      <c r="BT50" s="188"/>
      <c r="BV50" s="173"/>
      <c r="BW50" s="179"/>
      <c r="BX50" s="189"/>
      <c r="BY50" s="171"/>
      <c r="BZ50" s="188"/>
      <c r="CB50" s="173"/>
      <c r="CC50" s="179"/>
      <c r="CD50" s="189"/>
      <c r="CE50" s="171"/>
      <c r="CF50" s="188"/>
      <c r="CH50" s="173"/>
      <c r="CI50" s="179"/>
      <c r="CJ50" s="189"/>
      <c r="CK50" s="171"/>
      <c r="CL50" s="188"/>
      <c r="CN50" s="173"/>
      <c r="CO50" s="179"/>
      <c r="CP50" s="189"/>
      <c r="CQ50" s="171"/>
      <c r="CR50" s="188"/>
      <c r="CT50" s="173"/>
      <c r="CU50" s="179"/>
      <c r="CV50" s="189"/>
      <c r="CW50" s="171"/>
      <c r="CX50" s="188"/>
      <c r="CZ50" s="173"/>
      <c r="DA50" s="179"/>
      <c r="DB50" s="189"/>
      <c r="DC50" s="171"/>
      <c r="DD50" s="188"/>
      <c r="DF50" s="173"/>
      <c r="DG50" s="179"/>
      <c r="DH50" s="189"/>
      <c r="DI50" s="171"/>
      <c r="DJ50" s="188"/>
      <c r="DL50" s="173"/>
      <c r="DM50" s="179"/>
      <c r="DN50" s="189"/>
      <c r="DO50" s="171"/>
      <c r="DP50" s="188"/>
      <c r="DR50" s="173"/>
      <c r="DS50" s="179"/>
      <c r="DT50" s="189"/>
      <c r="DU50" s="171"/>
      <c r="DV50" s="188"/>
      <c r="DX50" s="173"/>
      <c r="DY50" s="179"/>
      <c r="DZ50" s="189"/>
      <c r="EA50" s="171"/>
      <c r="EB50" s="188"/>
      <c r="ED50" s="173"/>
      <c r="EE50" s="179"/>
      <c r="EF50" s="189"/>
      <c r="EG50" s="171"/>
      <c r="EH50" s="188"/>
      <c r="EJ50" s="173"/>
      <c r="EK50" s="179"/>
      <c r="EL50" s="189"/>
      <c r="EM50" s="171"/>
      <c r="EN50" s="188"/>
      <c r="EP50" s="173"/>
      <c r="EQ50" s="179"/>
      <c r="ER50" s="189"/>
      <c r="ES50" s="171"/>
      <c r="ET50" s="188"/>
      <c r="EV50" s="173"/>
      <c r="EW50" s="179"/>
      <c r="EX50" s="189"/>
      <c r="EY50" s="171"/>
      <c r="EZ50" s="188"/>
      <c r="FB50" s="173"/>
      <c r="FC50" s="179"/>
      <c r="FD50" s="189"/>
      <c r="FE50" s="171"/>
      <c r="FF50" s="188"/>
      <c r="FH50" s="173"/>
      <c r="FI50" s="179"/>
      <c r="FJ50" s="189"/>
      <c r="FK50" s="171"/>
      <c r="FL50" s="188"/>
      <c r="FN50" s="173"/>
      <c r="FO50" s="179"/>
      <c r="FP50" s="189"/>
      <c r="FQ50" s="171"/>
      <c r="FR50" s="188"/>
      <c r="FT50" s="173"/>
      <c r="FU50" s="179"/>
      <c r="FV50" s="189"/>
      <c r="FW50" s="171"/>
      <c r="FX50" s="188"/>
      <c r="FZ50" s="173"/>
      <c r="GA50" s="179"/>
      <c r="GB50" s="189"/>
      <c r="GC50" s="171"/>
      <c r="GD50" s="188"/>
      <c r="GF50" s="173"/>
      <c r="GG50" s="179"/>
      <c r="GH50" s="189"/>
      <c r="GI50" s="171"/>
      <c r="GJ50" s="188"/>
      <c r="GL50" s="173"/>
      <c r="GM50" s="179"/>
      <c r="GN50" s="189"/>
      <c r="GO50" s="171"/>
      <c r="GP50" s="188"/>
      <c r="GR50" s="173"/>
      <c r="GS50" s="179"/>
      <c r="GT50" s="189"/>
      <c r="GU50" s="171"/>
      <c r="GV50" s="188"/>
      <c r="GX50" s="173"/>
      <c r="GY50" s="179"/>
      <c r="GZ50" s="189"/>
      <c r="HA50" s="171"/>
      <c r="HB50" s="188"/>
      <c r="HD50" s="173"/>
      <c r="HE50" s="179"/>
      <c r="HF50" s="189"/>
      <c r="HG50" s="171"/>
      <c r="HH50" s="188"/>
      <c r="HJ50" s="173"/>
      <c r="HK50" s="179"/>
      <c r="HL50" s="189"/>
      <c r="HM50" s="171"/>
      <c r="HN50" s="188"/>
      <c r="HP50" s="173"/>
      <c r="HQ50" s="179"/>
      <c r="HR50" s="189"/>
      <c r="HS50" s="171"/>
      <c r="HT50" s="188"/>
      <c r="HV50" s="173"/>
      <c r="HW50" s="179"/>
      <c r="HX50" s="189"/>
      <c r="HY50" s="171"/>
      <c r="HZ50" s="188"/>
      <c r="IB50" s="173"/>
      <c r="IC50" s="179"/>
      <c r="ID50" s="189"/>
      <c r="IE50" s="171"/>
      <c r="IF50" s="188"/>
      <c r="IH50" s="173"/>
      <c r="II50" s="179"/>
      <c r="IJ50" s="189"/>
      <c r="IK50" s="171"/>
      <c r="IL50" s="188"/>
      <c r="IN50" s="173"/>
      <c r="IO50" s="179"/>
      <c r="IP50" s="189"/>
      <c r="IQ50" s="171"/>
      <c r="IR50" s="188"/>
      <c r="IT50" s="173"/>
      <c r="IU50" s="179"/>
      <c r="IV50" s="187"/>
    </row>
    <row r="51" spans="1:256" s="174" customFormat="1">
      <c r="A51" s="734"/>
      <c r="B51" s="580"/>
      <c r="C51" s="328">
        <v>30</v>
      </c>
      <c r="D51" s="329" t="s">
        <v>108</v>
      </c>
      <c r="E51" s="828"/>
      <c r="F51" s="911">
        <f t="shared" si="1"/>
        <v>0</v>
      </c>
      <c r="H51" s="173"/>
      <c r="I51" s="179"/>
      <c r="J51" s="189"/>
      <c r="K51" s="171"/>
      <c r="L51" s="188"/>
      <c r="N51" s="173"/>
      <c r="O51" s="179"/>
      <c r="P51" s="189"/>
      <c r="Q51" s="171"/>
      <c r="R51" s="188"/>
      <c r="T51" s="173"/>
      <c r="U51" s="179"/>
      <c r="V51" s="189"/>
      <c r="W51" s="171"/>
      <c r="X51" s="188"/>
      <c r="Z51" s="173"/>
      <c r="AA51" s="179"/>
      <c r="AB51" s="189"/>
      <c r="AC51" s="171"/>
      <c r="AD51" s="188"/>
      <c r="AF51" s="173"/>
      <c r="AG51" s="179"/>
      <c r="AH51" s="189"/>
      <c r="AI51" s="171"/>
      <c r="AJ51" s="188"/>
      <c r="AL51" s="173"/>
      <c r="AM51" s="179"/>
      <c r="AN51" s="189"/>
      <c r="AO51" s="171"/>
      <c r="AP51" s="188"/>
      <c r="AR51" s="173"/>
      <c r="AS51" s="179"/>
      <c r="AT51" s="189"/>
      <c r="AU51" s="171"/>
      <c r="AV51" s="188"/>
      <c r="AX51" s="173"/>
      <c r="AY51" s="179"/>
      <c r="AZ51" s="189"/>
      <c r="BA51" s="171"/>
      <c r="BB51" s="188"/>
      <c r="BD51" s="173"/>
      <c r="BE51" s="179"/>
      <c r="BF51" s="189"/>
      <c r="BG51" s="171"/>
      <c r="BH51" s="188"/>
      <c r="BJ51" s="173"/>
      <c r="BK51" s="179"/>
      <c r="BL51" s="189"/>
      <c r="BM51" s="171"/>
      <c r="BN51" s="188"/>
      <c r="BP51" s="173"/>
      <c r="BQ51" s="179"/>
      <c r="BR51" s="189"/>
      <c r="BS51" s="171"/>
      <c r="BT51" s="188"/>
      <c r="BV51" s="173"/>
      <c r="BW51" s="179"/>
      <c r="BX51" s="189"/>
      <c r="BY51" s="171"/>
      <c r="BZ51" s="188"/>
      <c r="CB51" s="173"/>
      <c r="CC51" s="179"/>
      <c r="CD51" s="189"/>
      <c r="CE51" s="171"/>
      <c r="CF51" s="188"/>
      <c r="CH51" s="173"/>
      <c r="CI51" s="179"/>
      <c r="CJ51" s="189"/>
      <c r="CK51" s="171"/>
      <c r="CL51" s="188"/>
      <c r="CN51" s="173"/>
      <c r="CO51" s="179"/>
      <c r="CP51" s="189"/>
      <c r="CQ51" s="171"/>
      <c r="CR51" s="188"/>
      <c r="CT51" s="173"/>
      <c r="CU51" s="179"/>
      <c r="CV51" s="189"/>
      <c r="CW51" s="171"/>
      <c r="CX51" s="188"/>
      <c r="CZ51" s="173"/>
      <c r="DA51" s="179"/>
      <c r="DB51" s="189"/>
      <c r="DC51" s="171"/>
      <c r="DD51" s="188"/>
      <c r="DF51" s="173"/>
      <c r="DG51" s="179"/>
      <c r="DH51" s="189"/>
      <c r="DI51" s="171"/>
      <c r="DJ51" s="188"/>
      <c r="DL51" s="173"/>
      <c r="DM51" s="179"/>
      <c r="DN51" s="189"/>
      <c r="DO51" s="171"/>
      <c r="DP51" s="188"/>
      <c r="DR51" s="173"/>
      <c r="DS51" s="179"/>
      <c r="DT51" s="189"/>
      <c r="DU51" s="171"/>
      <c r="DV51" s="188"/>
      <c r="DX51" s="173"/>
      <c r="DY51" s="179"/>
      <c r="DZ51" s="189"/>
      <c r="EA51" s="171"/>
      <c r="EB51" s="188"/>
      <c r="ED51" s="173"/>
      <c r="EE51" s="179"/>
      <c r="EF51" s="189"/>
      <c r="EG51" s="171"/>
      <c r="EH51" s="188"/>
      <c r="EJ51" s="173"/>
      <c r="EK51" s="179"/>
      <c r="EL51" s="189"/>
      <c r="EM51" s="171"/>
      <c r="EN51" s="188"/>
      <c r="EP51" s="173"/>
      <c r="EQ51" s="179"/>
      <c r="ER51" s="189"/>
      <c r="ES51" s="171"/>
      <c r="ET51" s="188"/>
      <c r="EV51" s="173"/>
      <c r="EW51" s="179"/>
      <c r="EX51" s="189"/>
      <c r="EY51" s="171"/>
      <c r="EZ51" s="188"/>
      <c r="FB51" s="173"/>
      <c r="FC51" s="179"/>
      <c r="FD51" s="189"/>
      <c r="FE51" s="171"/>
      <c r="FF51" s="188"/>
      <c r="FH51" s="173"/>
      <c r="FI51" s="179"/>
      <c r="FJ51" s="189"/>
      <c r="FK51" s="171"/>
      <c r="FL51" s="188"/>
      <c r="FN51" s="173"/>
      <c r="FO51" s="179"/>
      <c r="FP51" s="189"/>
      <c r="FQ51" s="171"/>
      <c r="FR51" s="188"/>
      <c r="FT51" s="173"/>
      <c r="FU51" s="179"/>
      <c r="FV51" s="189"/>
      <c r="FW51" s="171"/>
      <c r="FX51" s="188"/>
      <c r="FZ51" s="173"/>
      <c r="GA51" s="179"/>
      <c r="GB51" s="189"/>
      <c r="GC51" s="171"/>
      <c r="GD51" s="188"/>
      <c r="GF51" s="173"/>
      <c r="GG51" s="179"/>
      <c r="GH51" s="189"/>
      <c r="GI51" s="171"/>
      <c r="GJ51" s="188"/>
      <c r="GL51" s="173"/>
      <c r="GM51" s="179"/>
      <c r="GN51" s="189"/>
      <c r="GO51" s="171"/>
      <c r="GP51" s="188"/>
      <c r="GR51" s="173"/>
      <c r="GS51" s="179"/>
      <c r="GT51" s="189"/>
      <c r="GU51" s="171"/>
      <c r="GV51" s="188"/>
      <c r="GX51" s="173"/>
      <c r="GY51" s="179"/>
      <c r="GZ51" s="189"/>
      <c r="HA51" s="171"/>
      <c r="HB51" s="188"/>
      <c r="HD51" s="173"/>
      <c r="HE51" s="179"/>
      <c r="HF51" s="189"/>
      <c r="HG51" s="171"/>
      <c r="HH51" s="188"/>
      <c r="HJ51" s="173"/>
      <c r="HK51" s="179"/>
      <c r="HL51" s="189"/>
      <c r="HM51" s="171"/>
      <c r="HN51" s="188"/>
      <c r="HP51" s="173"/>
      <c r="HQ51" s="179"/>
      <c r="HR51" s="189"/>
      <c r="HS51" s="171"/>
      <c r="HT51" s="188"/>
      <c r="HV51" s="173"/>
      <c r="HW51" s="179"/>
      <c r="HX51" s="189"/>
      <c r="HY51" s="171"/>
      <c r="HZ51" s="188"/>
      <c r="IB51" s="173"/>
      <c r="IC51" s="179"/>
      <c r="ID51" s="189"/>
      <c r="IE51" s="171"/>
      <c r="IF51" s="188"/>
      <c r="IH51" s="173"/>
      <c r="II51" s="179"/>
      <c r="IJ51" s="189"/>
      <c r="IK51" s="171"/>
      <c r="IL51" s="188"/>
      <c r="IN51" s="173"/>
      <c r="IO51" s="179"/>
      <c r="IP51" s="189"/>
      <c r="IQ51" s="171"/>
      <c r="IR51" s="188"/>
      <c r="IT51" s="173"/>
      <c r="IU51" s="179"/>
      <c r="IV51" s="187"/>
    </row>
    <row r="52" spans="1:256" s="174" customFormat="1">
      <c r="A52" s="734"/>
      <c r="B52" s="580"/>
      <c r="C52" s="328"/>
      <c r="D52" s="329"/>
      <c r="E52" s="825"/>
      <c r="F52" s="908"/>
      <c r="H52" s="173"/>
      <c r="I52" s="179"/>
      <c r="J52" s="189"/>
      <c r="K52" s="171"/>
      <c r="L52" s="188"/>
      <c r="N52" s="173"/>
      <c r="O52" s="179"/>
      <c r="P52" s="189"/>
      <c r="Q52" s="171"/>
      <c r="R52" s="188"/>
      <c r="T52" s="173"/>
      <c r="U52" s="179"/>
      <c r="V52" s="189"/>
      <c r="W52" s="171"/>
      <c r="X52" s="188"/>
      <c r="Z52" s="173"/>
      <c r="AA52" s="179"/>
      <c r="AB52" s="189"/>
      <c r="AC52" s="171"/>
      <c r="AD52" s="188"/>
      <c r="AF52" s="173"/>
      <c r="AG52" s="179"/>
      <c r="AH52" s="189"/>
      <c r="AI52" s="171"/>
      <c r="AJ52" s="188"/>
      <c r="AL52" s="173"/>
      <c r="AM52" s="179"/>
      <c r="AN52" s="189"/>
      <c r="AO52" s="171"/>
      <c r="AP52" s="188"/>
      <c r="AR52" s="173"/>
      <c r="AS52" s="179"/>
      <c r="AT52" s="189"/>
      <c r="AU52" s="171"/>
      <c r="AV52" s="188"/>
      <c r="AX52" s="173"/>
      <c r="AY52" s="179"/>
      <c r="AZ52" s="189"/>
      <c r="BA52" s="171"/>
      <c r="BB52" s="188"/>
      <c r="BD52" s="173"/>
      <c r="BE52" s="179"/>
      <c r="BF52" s="189"/>
      <c r="BG52" s="171"/>
      <c r="BH52" s="188"/>
      <c r="BJ52" s="173"/>
      <c r="BK52" s="179"/>
      <c r="BL52" s="189"/>
      <c r="BM52" s="171"/>
      <c r="BN52" s="188"/>
      <c r="BP52" s="173"/>
      <c r="BQ52" s="179"/>
      <c r="BR52" s="189"/>
      <c r="BS52" s="171"/>
      <c r="BT52" s="188"/>
      <c r="BV52" s="173"/>
      <c r="BW52" s="179"/>
      <c r="BX52" s="189"/>
      <c r="BY52" s="171"/>
      <c r="BZ52" s="188"/>
      <c r="CB52" s="173"/>
      <c r="CC52" s="179"/>
      <c r="CD52" s="189"/>
      <c r="CE52" s="171"/>
      <c r="CF52" s="188"/>
      <c r="CH52" s="173"/>
      <c r="CI52" s="179"/>
      <c r="CJ52" s="189"/>
      <c r="CK52" s="171"/>
      <c r="CL52" s="188"/>
      <c r="CN52" s="173"/>
      <c r="CO52" s="179"/>
      <c r="CP52" s="189"/>
      <c r="CQ52" s="171"/>
      <c r="CR52" s="188"/>
      <c r="CT52" s="173"/>
      <c r="CU52" s="179"/>
      <c r="CV52" s="189"/>
      <c r="CW52" s="171"/>
      <c r="CX52" s="188"/>
      <c r="CZ52" s="173"/>
      <c r="DA52" s="179"/>
      <c r="DB52" s="189"/>
      <c r="DC52" s="171"/>
      <c r="DD52" s="188"/>
      <c r="DF52" s="173"/>
      <c r="DG52" s="179"/>
      <c r="DH52" s="189"/>
      <c r="DI52" s="171"/>
      <c r="DJ52" s="188"/>
      <c r="DL52" s="173"/>
      <c r="DM52" s="179"/>
      <c r="DN52" s="189"/>
      <c r="DO52" s="171"/>
      <c r="DP52" s="188"/>
      <c r="DR52" s="173"/>
      <c r="DS52" s="179"/>
      <c r="DT52" s="189"/>
      <c r="DU52" s="171"/>
      <c r="DV52" s="188"/>
      <c r="DX52" s="173"/>
      <c r="DY52" s="179"/>
      <c r="DZ52" s="189"/>
      <c r="EA52" s="171"/>
      <c r="EB52" s="188"/>
      <c r="ED52" s="173"/>
      <c r="EE52" s="179"/>
      <c r="EF52" s="189"/>
      <c r="EG52" s="171"/>
      <c r="EH52" s="188"/>
      <c r="EJ52" s="173"/>
      <c r="EK52" s="179"/>
      <c r="EL52" s="189"/>
      <c r="EM52" s="171"/>
      <c r="EN52" s="188"/>
      <c r="EP52" s="173"/>
      <c r="EQ52" s="179"/>
      <c r="ER52" s="189"/>
      <c r="ES52" s="171"/>
      <c r="ET52" s="188"/>
      <c r="EV52" s="173"/>
      <c r="EW52" s="179"/>
      <c r="EX52" s="189"/>
      <c r="EY52" s="171"/>
      <c r="EZ52" s="188"/>
      <c r="FB52" s="173"/>
      <c r="FC52" s="179"/>
      <c r="FD52" s="189"/>
      <c r="FE52" s="171"/>
      <c r="FF52" s="188"/>
      <c r="FH52" s="173"/>
      <c r="FI52" s="179"/>
      <c r="FJ52" s="189"/>
      <c r="FK52" s="171"/>
      <c r="FL52" s="188"/>
      <c r="FN52" s="173"/>
      <c r="FO52" s="179"/>
      <c r="FP52" s="189"/>
      <c r="FQ52" s="171"/>
      <c r="FR52" s="188"/>
      <c r="FT52" s="173"/>
      <c r="FU52" s="179"/>
      <c r="FV52" s="189"/>
      <c r="FW52" s="171"/>
      <c r="FX52" s="188"/>
      <c r="FZ52" s="173"/>
      <c r="GA52" s="179"/>
      <c r="GB52" s="189"/>
      <c r="GC52" s="171"/>
      <c r="GD52" s="188"/>
      <c r="GF52" s="173"/>
      <c r="GG52" s="179"/>
      <c r="GH52" s="189"/>
      <c r="GI52" s="171"/>
      <c r="GJ52" s="188"/>
      <c r="GL52" s="173"/>
      <c r="GM52" s="179"/>
      <c r="GN52" s="189"/>
      <c r="GO52" s="171"/>
      <c r="GP52" s="188"/>
      <c r="GR52" s="173"/>
      <c r="GS52" s="179"/>
      <c r="GT52" s="189"/>
      <c r="GU52" s="171"/>
      <c r="GV52" s="188"/>
      <c r="GX52" s="173"/>
      <c r="GY52" s="179"/>
      <c r="GZ52" s="189"/>
      <c r="HA52" s="171"/>
      <c r="HB52" s="188"/>
      <c r="HD52" s="173"/>
      <c r="HE52" s="179"/>
      <c r="HF52" s="189"/>
      <c r="HG52" s="171"/>
      <c r="HH52" s="188"/>
      <c r="HJ52" s="173"/>
      <c r="HK52" s="179"/>
      <c r="HL52" s="189"/>
      <c r="HM52" s="171"/>
      <c r="HN52" s="188"/>
      <c r="HP52" s="173"/>
      <c r="HQ52" s="179"/>
      <c r="HR52" s="189"/>
      <c r="HS52" s="171"/>
      <c r="HT52" s="188"/>
      <c r="HV52" s="173"/>
      <c r="HW52" s="179"/>
      <c r="HX52" s="189"/>
      <c r="HY52" s="171"/>
      <c r="HZ52" s="188"/>
      <c r="IB52" s="173"/>
      <c r="IC52" s="179"/>
      <c r="ID52" s="189"/>
      <c r="IE52" s="171"/>
      <c r="IF52" s="188"/>
      <c r="IH52" s="173"/>
      <c r="II52" s="179"/>
      <c r="IJ52" s="189"/>
      <c r="IK52" s="171"/>
      <c r="IL52" s="188"/>
      <c r="IN52" s="173"/>
      <c r="IO52" s="179"/>
      <c r="IP52" s="189"/>
      <c r="IQ52" s="171"/>
      <c r="IR52" s="188"/>
      <c r="IT52" s="173"/>
      <c r="IU52" s="179"/>
      <c r="IV52" s="187"/>
    </row>
    <row r="53" spans="1:256" s="186" customFormat="1">
      <c r="A53" s="341" t="s">
        <v>264</v>
      </c>
      <c r="B53" s="526" t="s">
        <v>290</v>
      </c>
      <c r="C53" s="334"/>
      <c r="D53" s="335"/>
      <c r="E53" s="827"/>
      <c r="F53" s="907">
        <f>SUM(F17:F52)</f>
        <v>0</v>
      </c>
      <c r="IV53" s="187"/>
    </row>
    <row r="54" spans="1:256" s="142" customFormat="1">
      <c r="A54" s="341"/>
      <c r="B54" s="526"/>
      <c r="C54" s="334"/>
      <c r="D54" s="335"/>
      <c r="E54" s="827"/>
      <c r="F54" s="910"/>
      <c r="IU54" s="132"/>
      <c r="IV54" s="132"/>
    </row>
    <row r="55" spans="1:256" s="142" customFormat="1">
      <c r="A55" s="341" t="s">
        <v>291</v>
      </c>
      <c r="B55" s="526" t="s">
        <v>292</v>
      </c>
      <c r="C55" s="334"/>
      <c r="D55" s="335"/>
      <c r="E55" s="827"/>
      <c r="F55" s="910"/>
      <c r="IU55" s="132"/>
      <c r="IV55" s="132"/>
    </row>
    <row r="56" spans="1:256" s="142" customFormat="1">
      <c r="A56" s="341"/>
      <c r="B56" s="526"/>
      <c r="C56" s="334"/>
      <c r="D56" s="335"/>
      <c r="E56" s="827"/>
      <c r="F56" s="910"/>
      <c r="IU56" s="132"/>
      <c r="IV56" s="132"/>
    </row>
    <row r="57" spans="1:256" s="158" customFormat="1" ht="81.75" customHeight="1">
      <c r="A57" s="342" t="s">
        <v>293</v>
      </c>
      <c r="B57" s="580" t="s">
        <v>294</v>
      </c>
      <c r="C57" s="328"/>
      <c r="D57" s="329"/>
      <c r="E57" s="825"/>
      <c r="F57" s="908"/>
      <c r="G57" s="142"/>
      <c r="IU57" s="132"/>
      <c r="IV57" s="132"/>
    </row>
    <row r="58" spans="1:256" s="158" customFormat="1">
      <c r="A58" s="342"/>
      <c r="B58" s="526"/>
      <c r="C58" s="748">
        <v>1</v>
      </c>
      <c r="D58" s="329" t="s">
        <v>93</v>
      </c>
      <c r="E58" s="828"/>
      <c r="F58" s="911">
        <f>ROUND(ROUND(C58,2)*ROUND(E58,2),2)</f>
        <v>0</v>
      </c>
      <c r="G58" s="142"/>
      <c r="IU58" s="132"/>
      <c r="IV58" s="132"/>
    </row>
    <row r="59" spans="1:256" s="158" customFormat="1">
      <c r="A59" s="342"/>
      <c r="B59" s="580"/>
      <c r="C59" s="748"/>
      <c r="D59" s="329"/>
      <c r="E59" s="825"/>
      <c r="F59" s="911"/>
      <c r="G59" s="142"/>
      <c r="IU59" s="132"/>
      <c r="IV59" s="132"/>
    </row>
    <row r="60" spans="1:256" s="158" customFormat="1">
      <c r="A60" s="342" t="s">
        <v>295</v>
      </c>
      <c r="B60" s="580" t="s">
        <v>296</v>
      </c>
      <c r="C60" s="328"/>
      <c r="D60" s="329"/>
      <c r="E60" s="825"/>
      <c r="F60" s="911"/>
      <c r="G60" s="142"/>
      <c r="IU60" s="132"/>
      <c r="IV60" s="132"/>
    </row>
    <row r="61" spans="1:256" s="158" customFormat="1">
      <c r="A61" s="342"/>
      <c r="B61" s="526"/>
      <c r="C61" s="748">
        <v>1</v>
      </c>
      <c r="D61" s="329" t="s">
        <v>93</v>
      </c>
      <c r="E61" s="828"/>
      <c r="F61" s="911">
        <f t="shared" ref="F61:F64" si="2">ROUND(ROUND(C61,2)*ROUND(E61,2),2)</f>
        <v>0</v>
      </c>
      <c r="G61" s="142"/>
      <c r="IU61" s="132"/>
      <c r="IV61" s="132"/>
    </row>
    <row r="62" spans="1:256" s="158" customFormat="1">
      <c r="A62" s="342"/>
      <c r="B62" s="526"/>
      <c r="C62" s="748"/>
      <c r="D62" s="329"/>
      <c r="E62" s="825"/>
      <c r="F62" s="911"/>
      <c r="G62" s="142"/>
      <c r="IU62" s="132"/>
      <c r="IV62" s="132"/>
    </row>
    <row r="63" spans="1:256" s="158" customFormat="1" ht="154.5" customHeight="1">
      <c r="A63" s="342" t="s">
        <v>1444</v>
      </c>
      <c r="B63" s="580" t="s">
        <v>1445</v>
      </c>
      <c r="C63" s="748"/>
      <c r="D63" s="329"/>
      <c r="E63" s="825"/>
      <c r="F63" s="911"/>
      <c r="G63" s="142"/>
      <c r="IU63" s="132"/>
      <c r="IV63" s="132"/>
    </row>
    <row r="64" spans="1:256" s="158" customFormat="1">
      <c r="A64" s="342"/>
      <c r="B64" s="580"/>
      <c r="C64" s="748">
        <v>1</v>
      </c>
      <c r="D64" s="329" t="s">
        <v>93</v>
      </c>
      <c r="E64" s="825"/>
      <c r="F64" s="911">
        <f t="shared" si="2"/>
        <v>0</v>
      </c>
      <c r="G64" s="142"/>
      <c r="IU64" s="132"/>
      <c r="IV64" s="132"/>
    </row>
    <row r="65" spans="1:256" s="142" customFormat="1">
      <c r="A65" s="341" t="s">
        <v>291</v>
      </c>
      <c r="B65" s="526" t="s">
        <v>297</v>
      </c>
      <c r="C65" s="736"/>
      <c r="D65" s="335"/>
      <c r="E65" s="827"/>
      <c r="F65" s="907">
        <f>SUM(F57:F64)</f>
        <v>0</v>
      </c>
      <c r="IU65" s="132"/>
      <c r="IV65" s="132"/>
    </row>
    <row r="66" spans="1:256" s="185" customFormat="1">
      <c r="A66" s="342"/>
      <c r="B66" s="580"/>
      <c r="C66" s="749"/>
      <c r="D66" s="518"/>
      <c r="E66" s="837"/>
      <c r="F66" s="914"/>
      <c r="G66" s="183"/>
      <c r="IU66" s="132"/>
      <c r="IV66" s="132"/>
    </row>
    <row r="67" spans="1:256" s="143" customFormat="1">
      <c r="A67" s="341" t="s">
        <v>89</v>
      </c>
      <c r="B67" s="526" t="s">
        <v>298</v>
      </c>
      <c r="C67" s="735"/>
      <c r="D67" s="333"/>
      <c r="E67" s="826"/>
      <c r="F67" s="915">
        <f>F13+F65+F53</f>
        <v>0</v>
      </c>
      <c r="IU67" s="132"/>
      <c r="IV67" s="132"/>
    </row>
    <row r="68" spans="1:256" s="158" customFormat="1">
      <c r="A68" s="750"/>
      <c r="B68" s="751"/>
      <c r="C68" s="520"/>
      <c r="D68" s="752"/>
      <c r="E68" s="825"/>
      <c r="F68" s="908"/>
      <c r="G68" s="142"/>
      <c r="IU68" s="132"/>
      <c r="IV68" s="132"/>
    </row>
    <row r="69" spans="1:256" s="143" customFormat="1">
      <c r="A69" s="341" t="s">
        <v>91</v>
      </c>
      <c r="B69" s="526" t="s">
        <v>12</v>
      </c>
      <c r="C69" s="735"/>
      <c r="D69" s="333"/>
      <c r="E69" s="826"/>
      <c r="F69" s="909"/>
      <c r="IU69" s="132"/>
      <c r="IV69" s="132"/>
    </row>
    <row r="70" spans="1:256" s="142" customFormat="1">
      <c r="A70" s="341"/>
      <c r="B70" s="526"/>
      <c r="C70" s="753"/>
      <c r="D70" s="329"/>
      <c r="E70" s="825"/>
      <c r="F70" s="908"/>
      <c r="IU70" s="132"/>
      <c r="IV70" s="132"/>
    </row>
    <row r="71" spans="1:256" s="142" customFormat="1">
      <c r="A71" s="341" t="s">
        <v>725</v>
      </c>
      <c r="B71" s="526" t="s">
        <v>736</v>
      </c>
      <c r="C71" s="736"/>
      <c r="D71" s="335"/>
      <c r="E71" s="827"/>
      <c r="F71" s="910"/>
      <c r="IU71" s="132"/>
      <c r="IV71" s="132"/>
    </row>
    <row r="72" spans="1:256" s="142" customFormat="1">
      <c r="A72" s="734"/>
      <c r="B72" s="526"/>
      <c r="C72" s="753"/>
      <c r="D72" s="329"/>
      <c r="E72" s="825"/>
      <c r="F72" s="908"/>
      <c r="IU72" s="132"/>
      <c r="IV72" s="132"/>
    </row>
    <row r="73" spans="1:256" s="158" customFormat="1" ht="25.5">
      <c r="A73" s="734" t="s">
        <v>735</v>
      </c>
      <c r="B73" s="580" t="s">
        <v>734</v>
      </c>
      <c r="C73" s="520"/>
      <c r="D73" s="754"/>
      <c r="E73" s="825"/>
      <c r="F73" s="908"/>
      <c r="G73" s="142"/>
      <c r="IU73" s="132"/>
      <c r="IV73" s="132"/>
    </row>
    <row r="74" spans="1:256" s="158" customFormat="1">
      <c r="A74" s="734"/>
      <c r="B74" s="580"/>
      <c r="C74" s="328">
        <f>690-C77</f>
        <v>458</v>
      </c>
      <c r="D74" s="329" t="s">
        <v>98</v>
      </c>
      <c r="E74" s="828"/>
      <c r="F74" s="911">
        <f>ROUND(ROUND(C74,2)*ROUND(E74,2),2)</f>
        <v>0</v>
      </c>
      <c r="G74" s="142"/>
      <c r="IU74" s="132"/>
      <c r="IV74" s="132"/>
    </row>
    <row r="75" spans="1:256" s="158" customFormat="1">
      <c r="A75" s="734"/>
      <c r="B75" s="580"/>
      <c r="C75" s="328"/>
      <c r="D75" s="329"/>
      <c r="E75" s="825"/>
      <c r="F75" s="911"/>
      <c r="G75" s="142"/>
      <c r="IU75" s="132"/>
      <c r="IV75" s="132"/>
    </row>
    <row r="76" spans="1:256" s="158" customFormat="1" ht="38.25">
      <c r="A76" s="734" t="s">
        <v>733</v>
      </c>
      <c r="B76" s="580" t="s">
        <v>732</v>
      </c>
      <c r="C76" s="328"/>
      <c r="D76" s="754"/>
      <c r="E76" s="825"/>
      <c r="F76" s="911"/>
      <c r="G76" s="142"/>
      <c r="IU76" s="132"/>
      <c r="IV76" s="132"/>
    </row>
    <row r="77" spans="1:256" s="158" customFormat="1">
      <c r="A77" s="734"/>
      <c r="B77" s="580"/>
      <c r="C77" s="328">
        <v>232</v>
      </c>
      <c r="D77" s="329" t="s">
        <v>98</v>
      </c>
      <c r="E77" s="828"/>
      <c r="F77" s="911">
        <f t="shared" ref="F77:F86" si="3">ROUND(ROUND(C77,2)*ROUND(E77,2),2)</f>
        <v>0</v>
      </c>
      <c r="G77" s="142"/>
      <c r="IU77" s="132"/>
      <c r="IV77" s="132"/>
    </row>
    <row r="78" spans="1:256" s="158" customFormat="1">
      <c r="A78" s="734"/>
      <c r="B78" s="580"/>
      <c r="C78" s="328"/>
      <c r="D78" s="329"/>
      <c r="E78" s="825"/>
      <c r="F78" s="911"/>
      <c r="G78" s="142"/>
      <c r="IU78" s="132"/>
      <c r="IV78" s="132"/>
    </row>
    <row r="79" spans="1:256" s="158" customFormat="1" ht="25.5">
      <c r="A79" s="734" t="s">
        <v>731</v>
      </c>
      <c r="B79" s="580" t="s">
        <v>730</v>
      </c>
      <c r="C79" s="340"/>
      <c r="D79" s="754"/>
      <c r="E79" s="825"/>
      <c r="F79" s="911"/>
      <c r="G79" s="142"/>
      <c r="IU79" s="132"/>
      <c r="IV79" s="132"/>
    </row>
    <row r="80" spans="1:256" s="158" customFormat="1">
      <c r="A80" s="734"/>
      <c r="B80" s="580"/>
      <c r="C80" s="328">
        <v>230</v>
      </c>
      <c r="D80" s="329" t="s">
        <v>98</v>
      </c>
      <c r="E80" s="828"/>
      <c r="F80" s="911">
        <f t="shared" si="3"/>
        <v>0</v>
      </c>
      <c r="G80" s="142"/>
      <c r="IU80" s="132"/>
      <c r="IV80" s="132"/>
    </row>
    <row r="81" spans="1:256" s="158" customFormat="1">
      <c r="A81" s="734"/>
      <c r="B81" s="580"/>
      <c r="C81" s="328"/>
      <c r="D81" s="329"/>
      <c r="E81" s="825"/>
      <c r="F81" s="911"/>
      <c r="G81" s="142"/>
      <c r="IU81" s="132"/>
      <c r="IV81" s="132"/>
    </row>
    <row r="82" spans="1:256" s="158" customFormat="1" ht="25.5">
      <c r="A82" s="734" t="s">
        <v>729</v>
      </c>
      <c r="B82" s="580" t="s">
        <v>728</v>
      </c>
      <c r="C82" s="328"/>
      <c r="D82" s="754"/>
      <c r="E82" s="825"/>
      <c r="F82" s="911"/>
      <c r="G82" s="142"/>
      <c r="IU82" s="132"/>
      <c r="IV82" s="132"/>
    </row>
    <row r="83" spans="1:256" s="158" customFormat="1">
      <c r="A83" s="734"/>
      <c r="B83" s="580"/>
      <c r="C83" s="328">
        <f>4330*0.6-C80</f>
        <v>2368</v>
      </c>
      <c r="D83" s="329" t="s">
        <v>98</v>
      </c>
      <c r="E83" s="828"/>
      <c r="F83" s="911">
        <f t="shared" si="3"/>
        <v>0</v>
      </c>
      <c r="G83" s="142"/>
      <c r="IU83" s="132"/>
      <c r="IV83" s="132"/>
    </row>
    <row r="84" spans="1:256" s="158" customFormat="1">
      <c r="A84" s="734"/>
      <c r="B84" s="580"/>
      <c r="C84" s="328"/>
      <c r="D84" s="329"/>
      <c r="E84" s="825"/>
      <c r="F84" s="911"/>
      <c r="G84" s="142"/>
      <c r="IU84" s="132"/>
      <c r="IV84" s="132"/>
    </row>
    <row r="85" spans="1:256" s="158" customFormat="1" ht="25.5">
      <c r="A85" s="734" t="s">
        <v>727</v>
      </c>
      <c r="B85" s="580" t="s">
        <v>726</v>
      </c>
      <c r="C85" s="328"/>
      <c r="D85" s="754"/>
      <c r="E85" s="825"/>
      <c r="F85" s="911"/>
      <c r="G85" s="142"/>
      <c r="IU85" s="132"/>
      <c r="IV85" s="132"/>
    </row>
    <row r="86" spans="1:256" s="158" customFormat="1">
      <c r="A86" s="734"/>
      <c r="B86" s="580"/>
      <c r="C86" s="328">
        <f>4330*0.4</f>
        <v>1732</v>
      </c>
      <c r="D86" s="329" t="s">
        <v>98</v>
      </c>
      <c r="E86" s="828"/>
      <c r="F86" s="911">
        <f t="shared" si="3"/>
        <v>0</v>
      </c>
      <c r="G86" s="142"/>
      <c r="IU86" s="132"/>
      <c r="IV86" s="132"/>
    </row>
    <row r="87" spans="1:256" s="158" customFormat="1">
      <c r="A87" s="734"/>
      <c r="B87" s="580"/>
      <c r="C87" s="340"/>
      <c r="D87" s="329"/>
      <c r="E87" s="825"/>
      <c r="F87" s="908"/>
      <c r="G87" s="142"/>
      <c r="IU87" s="132"/>
      <c r="IV87" s="132"/>
    </row>
    <row r="88" spans="1:256" s="142" customFormat="1">
      <c r="A88" s="341" t="s">
        <v>725</v>
      </c>
      <c r="B88" s="526" t="s">
        <v>724</v>
      </c>
      <c r="C88" s="339"/>
      <c r="D88" s="335"/>
      <c r="E88" s="827"/>
      <c r="F88" s="907">
        <f>SUM(F72:F87)</f>
        <v>0</v>
      </c>
      <c r="IU88" s="132"/>
      <c r="IV88" s="132"/>
    </row>
    <row r="89" spans="1:256" s="148" customFormat="1">
      <c r="A89" s="755"/>
      <c r="B89" s="756"/>
      <c r="C89" s="757"/>
      <c r="D89" s="752"/>
      <c r="E89" s="825"/>
      <c r="F89" s="908"/>
      <c r="G89" s="149"/>
      <c r="IU89" s="132"/>
      <c r="IV89" s="132"/>
    </row>
    <row r="90" spans="1:256" s="142" customFormat="1">
      <c r="A90" s="341" t="s">
        <v>716</v>
      </c>
      <c r="B90" s="526" t="s">
        <v>723</v>
      </c>
      <c r="C90" s="339"/>
      <c r="D90" s="335"/>
      <c r="E90" s="827"/>
      <c r="F90" s="910"/>
      <c r="IU90" s="132"/>
      <c r="IV90" s="132"/>
    </row>
    <row r="91" spans="1:256" s="142" customFormat="1">
      <c r="A91" s="734"/>
      <c r="B91" s="526"/>
      <c r="C91" s="757"/>
      <c r="D91" s="329"/>
      <c r="E91" s="825"/>
      <c r="F91" s="908"/>
      <c r="IU91" s="132"/>
      <c r="IV91" s="132"/>
    </row>
    <row r="92" spans="1:256" s="142" customFormat="1" ht="25.5">
      <c r="A92" s="734" t="s">
        <v>722</v>
      </c>
      <c r="B92" s="580" t="s">
        <v>721</v>
      </c>
      <c r="C92" s="340"/>
      <c r="D92" s="754"/>
      <c r="E92" s="825"/>
      <c r="F92" s="908"/>
      <c r="IU92" s="132"/>
      <c r="IV92" s="132"/>
    </row>
    <row r="93" spans="1:256" s="158" customFormat="1">
      <c r="A93" s="734"/>
      <c r="B93" s="580"/>
      <c r="C93" s="328">
        <f>3628*0.6</f>
        <v>2176.7999999999997</v>
      </c>
      <c r="D93" s="329" t="s">
        <v>100</v>
      </c>
      <c r="E93" s="828"/>
      <c r="F93" s="911">
        <f>ROUND(ROUND(C93,2)*ROUND(E93,2),2)</f>
        <v>0</v>
      </c>
      <c r="G93" s="142"/>
      <c r="IU93" s="132"/>
      <c r="IV93" s="132"/>
    </row>
    <row r="94" spans="1:256" s="158" customFormat="1">
      <c r="A94" s="734"/>
      <c r="B94" s="580"/>
      <c r="C94" s="328"/>
      <c r="D94" s="329"/>
      <c r="E94" s="825"/>
      <c r="F94" s="911"/>
      <c r="G94" s="142"/>
      <c r="IU94" s="132"/>
      <c r="IV94" s="132"/>
    </row>
    <row r="95" spans="1:256" s="158" customFormat="1" ht="25.5">
      <c r="A95" s="734" t="s">
        <v>720</v>
      </c>
      <c r="B95" s="580" t="s">
        <v>719</v>
      </c>
      <c r="C95" s="328"/>
      <c r="D95" s="754"/>
      <c r="E95" s="825"/>
      <c r="F95" s="911"/>
      <c r="G95" s="142"/>
      <c r="IU95" s="132"/>
      <c r="IV95" s="132"/>
    </row>
    <row r="96" spans="1:256" s="158" customFormat="1">
      <c r="A96" s="734"/>
      <c r="B96" s="580"/>
      <c r="C96" s="328">
        <f>3628*0.3</f>
        <v>1088.3999999999999</v>
      </c>
      <c r="D96" s="329" t="s">
        <v>100</v>
      </c>
      <c r="E96" s="828"/>
      <c r="F96" s="911">
        <f t="shared" ref="F96:F99" si="4">ROUND(ROUND(C96,2)*ROUND(E96,2),2)</f>
        <v>0</v>
      </c>
      <c r="G96" s="142"/>
      <c r="IU96" s="132"/>
      <c r="IV96" s="132"/>
    </row>
    <row r="97" spans="1:256" s="158" customFormat="1">
      <c r="A97" s="734"/>
      <c r="B97" s="580"/>
      <c r="C97" s="328"/>
      <c r="D97" s="329"/>
      <c r="E97" s="825"/>
      <c r="F97" s="911"/>
      <c r="G97" s="142"/>
      <c r="IU97" s="132"/>
      <c r="IV97" s="132"/>
    </row>
    <row r="98" spans="1:256" s="158" customFormat="1" ht="25.5">
      <c r="A98" s="734" t="s">
        <v>718</v>
      </c>
      <c r="B98" s="580" t="s">
        <v>717</v>
      </c>
      <c r="C98" s="328"/>
      <c r="D98" s="754"/>
      <c r="E98" s="825"/>
      <c r="F98" s="911"/>
      <c r="G98" s="142"/>
      <c r="IU98" s="132"/>
      <c r="IV98" s="132"/>
    </row>
    <row r="99" spans="1:256" s="158" customFormat="1">
      <c r="A99" s="734"/>
      <c r="B99" s="580"/>
      <c r="C99" s="328">
        <f>3628*0.1</f>
        <v>362.8</v>
      </c>
      <c r="D99" s="329" t="s">
        <v>100</v>
      </c>
      <c r="E99" s="828"/>
      <c r="F99" s="911">
        <f t="shared" si="4"/>
        <v>0</v>
      </c>
      <c r="G99" s="142"/>
      <c r="IU99" s="132"/>
      <c r="IV99" s="132"/>
    </row>
    <row r="100" spans="1:256" s="185" customFormat="1">
      <c r="A100" s="734"/>
      <c r="B100" s="580"/>
      <c r="C100" s="328"/>
      <c r="D100" s="329"/>
      <c r="E100" s="825"/>
      <c r="F100" s="908"/>
      <c r="G100" s="183"/>
      <c r="IU100" s="132"/>
      <c r="IV100" s="132"/>
    </row>
    <row r="101" spans="1:256" s="142" customFormat="1">
      <c r="A101" s="341" t="s">
        <v>716</v>
      </c>
      <c r="B101" s="526" t="s">
        <v>715</v>
      </c>
      <c r="C101" s="339"/>
      <c r="D101" s="335"/>
      <c r="E101" s="827"/>
      <c r="F101" s="907">
        <f>SUM(F93:F99)</f>
        <v>0</v>
      </c>
      <c r="IT101" s="144">
        <f>SUM(F101:IS101)</f>
        <v>0</v>
      </c>
      <c r="IU101" s="132"/>
      <c r="IV101" s="132"/>
    </row>
    <row r="102" spans="1:256" s="158" customFormat="1">
      <c r="A102" s="755"/>
      <c r="B102" s="751"/>
      <c r="C102" s="340"/>
      <c r="D102" s="758"/>
      <c r="E102" s="825"/>
      <c r="F102" s="908"/>
      <c r="G102" s="142"/>
      <c r="IU102" s="132"/>
      <c r="IV102" s="132"/>
    </row>
    <row r="103" spans="1:256" s="142" customFormat="1">
      <c r="A103" s="341" t="s">
        <v>701</v>
      </c>
      <c r="B103" s="526" t="s">
        <v>714</v>
      </c>
      <c r="C103" s="339"/>
      <c r="D103" s="335"/>
      <c r="E103" s="827"/>
      <c r="F103" s="910"/>
      <c r="IT103" s="144"/>
      <c r="IU103" s="132"/>
      <c r="IV103" s="132"/>
    </row>
    <row r="104" spans="1:256" s="158" customFormat="1">
      <c r="A104" s="734"/>
      <c r="B104" s="580"/>
      <c r="C104" s="340"/>
      <c r="D104" s="754"/>
      <c r="E104" s="825"/>
      <c r="F104" s="908"/>
      <c r="G104" s="142"/>
      <c r="IU104" s="132"/>
      <c r="IV104" s="132"/>
    </row>
    <row r="105" spans="1:256" s="158" customFormat="1" ht="51">
      <c r="A105" s="342" t="s">
        <v>713</v>
      </c>
      <c r="B105" s="580" t="s">
        <v>712</v>
      </c>
      <c r="C105" s="340"/>
      <c r="D105" s="329"/>
      <c r="E105" s="825"/>
      <c r="F105" s="908"/>
      <c r="G105" s="142"/>
      <c r="IU105" s="132"/>
      <c r="IV105" s="132"/>
    </row>
    <row r="106" spans="1:256" s="158" customFormat="1">
      <c r="A106" s="342"/>
      <c r="B106" s="580"/>
      <c r="C106" s="328">
        <f>C80</f>
        <v>230</v>
      </c>
      <c r="D106" s="329" t="s">
        <v>98</v>
      </c>
      <c r="E106" s="828"/>
      <c r="F106" s="911">
        <f>ROUND(ROUND(C106,2)*ROUND(E106,2),2)</f>
        <v>0</v>
      </c>
      <c r="G106" s="142"/>
      <c r="IU106" s="132"/>
      <c r="IV106" s="132"/>
    </row>
    <row r="107" spans="1:256" s="158" customFormat="1">
      <c r="A107" s="342"/>
      <c r="B107" s="580"/>
      <c r="C107" s="328"/>
      <c r="D107" s="329"/>
      <c r="E107" s="825"/>
      <c r="F107" s="911"/>
      <c r="G107" s="142"/>
      <c r="IU107" s="132"/>
      <c r="IV107" s="132"/>
    </row>
    <row r="108" spans="1:256" s="158" customFormat="1" ht="38.25">
      <c r="A108" s="342" t="s">
        <v>711</v>
      </c>
      <c r="B108" s="580" t="s">
        <v>710</v>
      </c>
      <c r="C108" s="340"/>
      <c r="D108" s="329"/>
      <c r="E108" s="825"/>
      <c r="F108" s="911"/>
      <c r="G108" s="142"/>
      <c r="IU108" s="132"/>
      <c r="IV108" s="132"/>
    </row>
    <row r="109" spans="1:256" s="158" customFormat="1">
      <c r="A109" s="342"/>
      <c r="B109" s="580"/>
      <c r="C109" s="328">
        <f>4330*0.25-C106</f>
        <v>852.5</v>
      </c>
      <c r="D109" s="329" t="s">
        <v>98</v>
      </c>
      <c r="E109" s="828"/>
      <c r="F109" s="911">
        <f t="shared" ref="F109:F121" si="5">ROUND(ROUND(C109,2)*ROUND(E109,2),2)</f>
        <v>0</v>
      </c>
      <c r="G109" s="142"/>
      <c r="IU109" s="132"/>
      <c r="IV109" s="132"/>
    </row>
    <row r="110" spans="1:256" s="158" customFormat="1">
      <c r="A110" s="759"/>
      <c r="B110" s="580"/>
      <c r="C110" s="340"/>
      <c r="D110" s="329"/>
      <c r="E110" s="825"/>
      <c r="F110" s="911"/>
      <c r="G110" s="142"/>
      <c r="IU110" s="132"/>
      <c r="IV110" s="132"/>
    </row>
    <row r="111" spans="1:256" s="158" customFormat="1" ht="63.75">
      <c r="A111" s="342" t="s">
        <v>709</v>
      </c>
      <c r="B111" s="580" t="s">
        <v>708</v>
      </c>
      <c r="C111" s="340"/>
      <c r="D111" s="752"/>
      <c r="E111" s="825"/>
      <c r="F111" s="911"/>
      <c r="G111" s="142"/>
      <c r="IU111" s="132"/>
      <c r="IV111" s="132"/>
    </row>
    <row r="112" spans="1:256" s="158" customFormat="1">
      <c r="A112" s="759"/>
      <c r="B112" s="751"/>
      <c r="C112" s="328">
        <v>805</v>
      </c>
      <c r="D112" s="329" t="s">
        <v>98</v>
      </c>
      <c r="E112" s="828"/>
      <c r="F112" s="911">
        <f t="shared" si="5"/>
        <v>0</v>
      </c>
      <c r="G112" s="142"/>
      <c r="IU112" s="132"/>
      <c r="IV112" s="132"/>
    </row>
    <row r="113" spans="1:256" s="158" customFormat="1">
      <c r="A113" s="759"/>
      <c r="B113" s="751"/>
      <c r="C113" s="328"/>
      <c r="D113" s="329"/>
      <c r="E113" s="825"/>
      <c r="F113" s="911"/>
      <c r="G113" s="142"/>
      <c r="IU113" s="132"/>
      <c r="IV113" s="132"/>
    </row>
    <row r="114" spans="1:256" s="158" customFormat="1" ht="25.5">
      <c r="A114" s="342" t="s">
        <v>707</v>
      </c>
      <c r="B114" s="580" t="s">
        <v>706</v>
      </c>
      <c r="C114" s="328"/>
      <c r="D114" s="754"/>
      <c r="E114" s="825"/>
      <c r="F114" s="911"/>
      <c r="G114" s="142"/>
      <c r="IU114" s="132"/>
      <c r="IV114" s="132"/>
    </row>
    <row r="115" spans="1:256" s="158" customFormat="1">
      <c r="A115" s="734"/>
      <c r="B115" s="580"/>
      <c r="C115" s="328">
        <v>1553</v>
      </c>
      <c r="D115" s="329" t="s">
        <v>100</v>
      </c>
      <c r="E115" s="828"/>
      <c r="F115" s="911">
        <f t="shared" si="5"/>
        <v>0</v>
      </c>
      <c r="G115" s="142"/>
      <c r="IU115" s="132"/>
      <c r="IV115" s="132"/>
    </row>
    <row r="116" spans="1:256" s="158" customFormat="1">
      <c r="A116" s="734"/>
      <c r="B116" s="580"/>
      <c r="C116" s="328"/>
      <c r="D116" s="329"/>
      <c r="E116" s="825"/>
      <c r="F116" s="911"/>
      <c r="G116" s="142"/>
      <c r="IU116" s="132"/>
      <c r="IV116" s="132"/>
    </row>
    <row r="117" spans="1:256" s="158" customFormat="1" ht="38.25">
      <c r="A117" s="342" t="s">
        <v>705</v>
      </c>
      <c r="B117" s="580" t="s">
        <v>704</v>
      </c>
      <c r="C117" s="340"/>
      <c r="D117" s="329"/>
      <c r="E117" s="825"/>
      <c r="F117" s="911"/>
      <c r="G117" s="142"/>
      <c r="IU117" s="132"/>
      <c r="IV117" s="132"/>
    </row>
    <row r="118" spans="1:256" s="158" customFormat="1">
      <c r="A118" s="342"/>
      <c r="B118" s="580"/>
      <c r="C118" s="328">
        <v>1160</v>
      </c>
      <c r="D118" s="329" t="s">
        <v>100</v>
      </c>
      <c r="E118" s="828"/>
      <c r="F118" s="911">
        <f t="shared" si="5"/>
        <v>0</v>
      </c>
      <c r="G118" s="142"/>
      <c r="IU118" s="132"/>
      <c r="IV118" s="132"/>
    </row>
    <row r="119" spans="1:256" s="158" customFormat="1">
      <c r="A119" s="342"/>
      <c r="B119" s="580"/>
      <c r="C119" s="328"/>
      <c r="D119" s="329"/>
      <c r="E119" s="825"/>
      <c r="F119" s="911"/>
      <c r="G119" s="142"/>
      <c r="IU119" s="132"/>
      <c r="IV119" s="132"/>
    </row>
    <row r="120" spans="1:256" s="158" customFormat="1" ht="38.25">
      <c r="A120" s="342" t="s">
        <v>703</v>
      </c>
      <c r="B120" s="580" t="s">
        <v>702</v>
      </c>
      <c r="C120" s="340"/>
      <c r="D120" s="329"/>
      <c r="E120" s="825"/>
      <c r="F120" s="911"/>
      <c r="G120" s="142"/>
      <c r="IU120" s="132"/>
      <c r="IV120" s="132"/>
    </row>
    <row r="121" spans="1:256" s="158" customFormat="1">
      <c r="A121" s="342"/>
      <c r="B121" s="580"/>
      <c r="C121" s="328">
        <v>122</v>
      </c>
      <c r="D121" s="329" t="s">
        <v>100</v>
      </c>
      <c r="E121" s="828"/>
      <c r="F121" s="911">
        <f t="shared" si="5"/>
        <v>0</v>
      </c>
      <c r="G121" s="142"/>
      <c r="IU121" s="132"/>
      <c r="IV121" s="132"/>
    </row>
    <row r="122" spans="1:256" s="158" customFormat="1">
      <c r="A122" s="342"/>
      <c r="B122" s="580"/>
      <c r="C122" s="340"/>
      <c r="D122" s="329"/>
      <c r="E122" s="825"/>
      <c r="F122" s="908"/>
      <c r="G122" s="142"/>
      <c r="IU122" s="132"/>
      <c r="IV122" s="132"/>
    </row>
    <row r="123" spans="1:256" s="142" customFormat="1">
      <c r="A123" s="341" t="s">
        <v>701</v>
      </c>
      <c r="B123" s="526" t="s">
        <v>700</v>
      </c>
      <c r="C123" s="339"/>
      <c r="D123" s="335"/>
      <c r="E123" s="827"/>
      <c r="F123" s="907">
        <f>SUM(F104:F122)</f>
        <v>0</v>
      </c>
      <c r="IT123" s="144"/>
      <c r="IU123" s="132"/>
      <c r="IV123" s="132"/>
    </row>
    <row r="124" spans="1:256" s="142" customFormat="1">
      <c r="A124" s="341"/>
      <c r="B124" s="526"/>
      <c r="C124" s="339"/>
      <c r="D124" s="335"/>
      <c r="E124" s="827"/>
      <c r="F124" s="910"/>
      <c r="IT124" s="144"/>
      <c r="IU124" s="132"/>
      <c r="IV124" s="132"/>
    </row>
    <row r="125" spans="1:256" s="142" customFormat="1">
      <c r="A125" s="341" t="s">
        <v>694</v>
      </c>
      <c r="B125" s="526" t="s">
        <v>699</v>
      </c>
      <c r="C125" s="339"/>
      <c r="D125" s="335"/>
      <c r="E125" s="827"/>
      <c r="F125" s="910"/>
      <c r="IT125" s="144"/>
      <c r="IU125" s="132"/>
      <c r="IV125" s="132"/>
    </row>
    <row r="126" spans="1:256" s="158" customFormat="1">
      <c r="A126" s="342"/>
      <c r="B126" s="580"/>
      <c r="C126" s="340"/>
      <c r="D126" s="329"/>
      <c r="E126" s="825"/>
      <c r="F126" s="908"/>
      <c r="G126" s="142"/>
      <c r="H126" s="184"/>
      <c r="IU126" s="132"/>
      <c r="IV126" s="132"/>
    </row>
    <row r="127" spans="1:256" s="158" customFormat="1" ht="38.25">
      <c r="A127" s="342" t="s">
        <v>698</v>
      </c>
      <c r="B127" s="580" t="s">
        <v>697</v>
      </c>
      <c r="C127" s="340"/>
      <c r="D127" s="329"/>
      <c r="E127" s="825"/>
      <c r="F127" s="908"/>
      <c r="G127" s="142"/>
      <c r="IU127" s="132"/>
      <c r="IV127" s="132"/>
    </row>
    <row r="128" spans="1:256" s="158" customFormat="1">
      <c r="A128" s="342"/>
      <c r="B128" s="580"/>
      <c r="C128" s="328">
        <v>1160</v>
      </c>
      <c r="D128" s="329" t="s">
        <v>100</v>
      </c>
      <c r="E128" s="828"/>
      <c r="F128" s="911">
        <f>ROUND(ROUND(C128,2)*ROUND(E128,2),2)</f>
        <v>0</v>
      </c>
      <c r="G128" s="142"/>
      <c r="IU128" s="132"/>
      <c r="IV128" s="132"/>
    </row>
    <row r="129" spans="1:256" s="158" customFormat="1">
      <c r="A129" s="342"/>
      <c r="B129" s="580"/>
      <c r="C129" s="340"/>
      <c r="D129" s="329"/>
      <c r="E129" s="825"/>
      <c r="F129" s="911"/>
      <c r="G129" s="142"/>
      <c r="IU129" s="132"/>
      <c r="IV129" s="132"/>
    </row>
    <row r="130" spans="1:256" s="158" customFormat="1" ht="38.25">
      <c r="A130" s="342" t="s">
        <v>696</v>
      </c>
      <c r="B130" s="580" t="s">
        <v>695</v>
      </c>
      <c r="C130" s="340"/>
      <c r="D130" s="329"/>
      <c r="E130" s="825"/>
      <c r="F130" s="911"/>
      <c r="G130" s="142"/>
      <c r="IU130" s="132"/>
      <c r="IV130" s="132"/>
    </row>
    <row r="131" spans="1:256" s="158" customFormat="1">
      <c r="A131" s="342"/>
      <c r="B131" s="580"/>
      <c r="C131" s="328">
        <v>0</v>
      </c>
      <c r="D131" s="329" t="s">
        <v>100</v>
      </c>
      <c r="E131" s="828"/>
      <c r="F131" s="911">
        <f t="shared" ref="F131" si="6">ROUND(ROUND(C131,2)*ROUND(E131,2),2)</f>
        <v>0</v>
      </c>
      <c r="G131" s="142"/>
      <c r="IU131" s="132"/>
      <c r="IV131" s="132"/>
    </row>
    <row r="132" spans="1:256" s="183" customFormat="1">
      <c r="A132" s="759"/>
      <c r="B132" s="751"/>
      <c r="C132" s="340"/>
      <c r="D132" s="752"/>
      <c r="E132" s="825"/>
      <c r="F132" s="908"/>
      <c r="IU132" s="132"/>
      <c r="IV132" s="132"/>
    </row>
    <row r="133" spans="1:256" s="142" customFormat="1">
      <c r="A133" s="341" t="s">
        <v>694</v>
      </c>
      <c r="B133" s="526" t="s">
        <v>693</v>
      </c>
      <c r="C133" s="339"/>
      <c r="D133" s="335"/>
      <c r="E133" s="827"/>
      <c r="F133" s="907">
        <f>SUM(F127:F132)</f>
        <v>0</v>
      </c>
      <c r="IT133" s="144"/>
      <c r="IU133" s="132"/>
      <c r="IV133" s="132"/>
    </row>
    <row r="134" spans="1:256" s="148" customFormat="1">
      <c r="A134" s="760"/>
      <c r="B134" s="580"/>
      <c r="C134" s="340"/>
      <c r="D134" s="329"/>
      <c r="E134" s="825"/>
      <c r="F134" s="908"/>
      <c r="G134" s="149"/>
      <c r="IU134" s="132"/>
      <c r="IV134" s="132"/>
    </row>
    <row r="135" spans="1:256" s="142" customFormat="1">
      <c r="A135" s="341" t="s">
        <v>685</v>
      </c>
      <c r="B135" s="526" t="s">
        <v>692</v>
      </c>
      <c r="C135" s="339"/>
      <c r="D135" s="335"/>
      <c r="E135" s="827"/>
      <c r="F135" s="910"/>
      <c r="IT135" s="144"/>
      <c r="IU135" s="132"/>
      <c r="IV135" s="132"/>
    </row>
    <row r="136" spans="1:256" s="158" customFormat="1">
      <c r="A136" s="342"/>
      <c r="B136" s="580"/>
      <c r="C136" s="340"/>
      <c r="D136" s="329"/>
      <c r="E136" s="825"/>
      <c r="F136" s="908"/>
      <c r="G136" s="142"/>
      <c r="IU136" s="132"/>
      <c r="IV136" s="132"/>
    </row>
    <row r="137" spans="1:256" s="158" customFormat="1" ht="38.25">
      <c r="A137" s="342" t="s">
        <v>691</v>
      </c>
      <c r="B137" s="580" t="s">
        <v>690</v>
      </c>
      <c r="C137" s="340"/>
      <c r="D137" s="329"/>
      <c r="E137" s="825"/>
      <c r="F137" s="908"/>
      <c r="G137" s="142"/>
      <c r="IU137" s="132"/>
      <c r="IV137" s="132"/>
    </row>
    <row r="138" spans="1:256" s="158" customFormat="1">
      <c r="A138" s="342"/>
      <c r="B138" s="580"/>
      <c r="C138" s="328">
        <f>C74*1.4</f>
        <v>641.19999999999993</v>
      </c>
      <c r="D138" s="329" t="s">
        <v>98</v>
      </c>
      <c r="E138" s="828"/>
      <c r="F138" s="911">
        <f>ROUND(ROUND(C138,2)*ROUND(E138,2),2)</f>
        <v>0</v>
      </c>
      <c r="G138" s="142"/>
      <c r="IU138" s="132"/>
      <c r="IV138" s="132"/>
    </row>
    <row r="139" spans="1:256" s="158" customFormat="1">
      <c r="A139" s="342"/>
      <c r="B139" s="580"/>
      <c r="C139" s="328"/>
      <c r="D139" s="329"/>
      <c r="E139" s="825"/>
      <c r="F139" s="911"/>
      <c r="G139" s="142"/>
      <c r="IU139" s="132"/>
      <c r="IV139" s="132"/>
    </row>
    <row r="140" spans="1:256" s="158" customFormat="1" ht="38.25">
      <c r="A140" s="342" t="s">
        <v>689</v>
      </c>
      <c r="B140" s="580" t="s">
        <v>688</v>
      </c>
      <c r="C140" s="328"/>
      <c r="D140" s="329"/>
      <c r="E140" s="825"/>
      <c r="F140" s="911"/>
      <c r="G140" s="142"/>
      <c r="IU140" s="132"/>
      <c r="IV140" s="132"/>
    </row>
    <row r="141" spans="1:256" s="158" customFormat="1">
      <c r="A141" s="342"/>
      <c r="B141" s="580"/>
      <c r="C141" s="328">
        <f>C83*1.4</f>
        <v>3315.2</v>
      </c>
      <c r="D141" s="329" t="s">
        <v>98</v>
      </c>
      <c r="E141" s="828"/>
      <c r="F141" s="911">
        <f t="shared" ref="F141:F144" si="7">ROUND(ROUND(C141,2)*ROUND(E141,2),2)</f>
        <v>0</v>
      </c>
      <c r="G141" s="142"/>
      <c r="IU141" s="132"/>
      <c r="IV141" s="132"/>
    </row>
    <row r="142" spans="1:256" s="158" customFormat="1">
      <c r="A142" s="342"/>
      <c r="B142" s="580"/>
      <c r="C142" s="328"/>
      <c r="D142" s="329"/>
      <c r="E142" s="825"/>
      <c r="F142" s="911"/>
      <c r="G142" s="142"/>
      <c r="IU142" s="132"/>
      <c r="IV142" s="132"/>
    </row>
    <row r="143" spans="1:256" s="158" customFormat="1" ht="38.25">
      <c r="A143" s="342" t="s">
        <v>687</v>
      </c>
      <c r="B143" s="580" t="s">
        <v>686</v>
      </c>
      <c r="C143" s="328"/>
      <c r="D143" s="329"/>
      <c r="E143" s="825"/>
      <c r="F143" s="911"/>
      <c r="G143" s="142"/>
      <c r="IU143" s="132"/>
      <c r="IV143" s="132"/>
    </row>
    <row r="144" spans="1:256" s="158" customFormat="1">
      <c r="A144" s="342"/>
      <c r="B144" s="580"/>
      <c r="C144" s="328">
        <f>C86*1.4</f>
        <v>2424.7999999999997</v>
      </c>
      <c r="D144" s="329" t="s">
        <v>98</v>
      </c>
      <c r="E144" s="828"/>
      <c r="F144" s="911">
        <f t="shared" si="7"/>
        <v>0</v>
      </c>
      <c r="G144" s="142"/>
      <c r="IU144" s="132"/>
      <c r="IV144" s="132"/>
    </row>
    <row r="145" spans="1:256" s="158" customFormat="1">
      <c r="A145" s="342"/>
      <c r="B145" s="580"/>
      <c r="C145" s="340"/>
      <c r="D145" s="329"/>
      <c r="E145" s="825"/>
      <c r="F145" s="908"/>
      <c r="G145" s="142"/>
      <c r="IU145" s="132"/>
      <c r="IV145" s="132"/>
    </row>
    <row r="146" spans="1:256" s="142" customFormat="1" ht="25.5">
      <c r="A146" s="341" t="s">
        <v>685</v>
      </c>
      <c r="B146" s="526" t="s">
        <v>684</v>
      </c>
      <c r="C146" s="339"/>
      <c r="D146" s="335"/>
      <c r="E146" s="827"/>
      <c r="F146" s="907">
        <f>SUM(F136:F145)</f>
        <v>0</v>
      </c>
      <c r="IT146" s="144"/>
      <c r="IU146" s="132"/>
      <c r="IV146" s="132"/>
    </row>
    <row r="147" spans="1:256" s="149" customFormat="1">
      <c r="A147" s="760"/>
      <c r="B147" s="526"/>
      <c r="C147" s="340"/>
      <c r="D147" s="329"/>
      <c r="E147" s="825"/>
      <c r="F147" s="910"/>
      <c r="IU147" s="132"/>
      <c r="IV147" s="132"/>
    </row>
    <row r="148" spans="1:256" s="143" customFormat="1">
      <c r="A148" s="341" t="s">
        <v>683</v>
      </c>
      <c r="B148" s="526" t="s">
        <v>682</v>
      </c>
      <c r="C148" s="344"/>
      <c r="D148" s="333"/>
      <c r="E148" s="826"/>
      <c r="F148" s="915">
        <f>F146++F123+F101+F88+F133</f>
        <v>0</v>
      </c>
      <c r="IU148" s="132"/>
      <c r="IV148" s="132"/>
    </row>
    <row r="149" spans="1:256" s="158" customFormat="1">
      <c r="A149" s="755"/>
      <c r="B149" s="756"/>
      <c r="C149" s="340"/>
      <c r="D149" s="752"/>
      <c r="E149" s="825"/>
      <c r="F149" s="910"/>
      <c r="G149" s="142"/>
      <c r="IU149" s="132"/>
      <c r="IV149" s="132"/>
    </row>
    <row r="150" spans="1:256" s="143" customFormat="1">
      <c r="A150" s="341" t="s">
        <v>94</v>
      </c>
      <c r="B150" s="526" t="s">
        <v>681</v>
      </c>
      <c r="C150" s="344"/>
      <c r="D150" s="761"/>
      <c r="E150" s="826"/>
      <c r="F150" s="909"/>
      <c r="IU150" s="132"/>
      <c r="IV150" s="132"/>
    </row>
    <row r="151" spans="1:256" s="142" customFormat="1">
      <c r="A151" s="341"/>
      <c r="B151" s="136"/>
      <c r="C151" s="340"/>
      <c r="D151" s="752"/>
      <c r="E151" s="825"/>
      <c r="F151" s="908"/>
      <c r="IU151" s="132"/>
      <c r="IV151" s="132"/>
    </row>
    <row r="152" spans="1:256" s="142" customFormat="1">
      <c r="A152" s="341" t="s">
        <v>680</v>
      </c>
      <c r="B152" s="526" t="s">
        <v>679</v>
      </c>
      <c r="C152" s="339"/>
      <c r="D152" s="762"/>
      <c r="E152" s="827"/>
      <c r="F152" s="910"/>
      <c r="IT152" s="144"/>
      <c r="IU152" s="132"/>
      <c r="IV152" s="132"/>
    </row>
    <row r="153" spans="1:256" s="148" customFormat="1">
      <c r="A153" s="182"/>
      <c r="B153" s="181"/>
      <c r="C153" s="168"/>
      <c r="D153" s="180"/>
      <c r="E153" s="825"/>
      <c r="F153" s="908"/>
      <c r="G153" s="149"/>
      <c r="IU153" s="132"/>
      <c r="IV153" s="132"/>
    </row>
    <row r="154" spans="1:256">
      <c r="A154" s="734" t="s">
        <v>678</v>
      </c>
      <c r="B154" s="580" t="s">
        <v>677</v>
      </c>
      <c r="C154" s="340"/>
      <c r="D154" s="752"/>
      <c r="F154" s="908"/>
    </row>
    <row r="155" spans="1:256">
      <c r="A155" s="759"/>
      <c r="B155" s="751"/>
      <c r="C155" s="340"/>
      <c r="D155" s="329"/>
      <c r="F155" s="908"/>
    </row>
    <row r="156" spans="1:256" ht="89.25">
      <c r="A156" s="342" t="s">
        <v>676</v>
      </c>
      <c r="B156" s="580" t="s">
        <v>1429</v>
      </c>
      <c r="C156" s="340"/>
      <c r="D156" s="752"/>
      <c r="F156" s="908"/>
    </row>
    <row r="157" spans="1:256">
      <c r="A157" s="759"/>
      <c r="B157" s="751"/>
      <c r="C157" s="328">
        <v>132.495</v>
      </c>
      <c r="D157" s="329" t="s">
        <v>98</v>
      </c>
      <c r="E157" s="828"/>
      <c r="F157" s="911">
        <f>ROUND(ROUND(C157,2)*ROUND(E157,2),2)</f>
        <v>0</v>
      </c>
    </row>
    <row r="158" spans="1:256">
      <c r="A158" s="759"/>
      <c r="B158" s="751"/>
      <c r="C158" s="328"/>
      <c r="D158" s="329"/>
      <c r="F158" s="911"/>
    </row>
    <row r="159" spans="1:256" ht="38.25">
      <c r="A159" s="342" t="s">
        <v>675</v>
      </c>
      <c r="B159" s="580" t="s">
        <v>674</v>
      </c>
      <c r="C159" s="340"/>
      <c r="D159" s="752"/>
      <c r="F159" s="911"/>
    </row>
    <row r="160" spans="1:256">
      <c r="A160" s="759"/>
      <c r="B160" s="751"/>
      <c r="C160" s="328">
        <v>31.900000000000002</v>
      </c>
      <c r="D160" s="329" t="s">
        <v>98</v>
      </c>
      <c r="E160" s="828"/>
      <c r="F160" s="911">
        <f t="shared" ref="F160:F180" si="8">ROUND(ROUND(C160,2)*ROUND(E160,2),2)</f>
        <v>0</v>
      </c>
    </row>
    <row r="161" spans="1:6">
      <c r="A161" s="759"/>
      <c r="B161" s="751"/>
      <c r="C161" s="328"/>
      <c r="D161" s="329"/>
      <c r="F161" s="911"/>
    </row>
    <row r="162" spans="1:6" ht="38.25">
      <c r="A162" s="342" t="s">
        <v>673</v>
      </c>
      <c r="B162" s="580" t="s">
        <v>672</v>
      </c>
      <c r="C162" s="340"/>
      <c r="D162" s="752"/>
      <c r="F162" s="911"/>
    </row>
    <row r="163" spans="1:6">
      <c r="A163" s="759"/>
      <c r="B163" s="751"/>
      <c r="C163" s="328">
        <v>189.47500000000002</v>
      </c>
      <c r="D163" s="329" t="s">
        <v>98</v>
      </c>
      <c r="E163" s="828"/>
      <c r="F163" s="911">
        <f t="shared" si="8"/>
        <v>0</v>
      </c>
    </row>
    <row r="164" spans="1:6">
      <c r="A164" s="759"/>
      <c r="B164" s="751"/>
      <c r="C164" s="328"/>
      <c r="D164" s="329"/>
      <c r="F164" s="911"/>
    </row>
    <row r="165" spans="1:6" ht="89.25">
      <c r="A165" s="342" t="s">
        <v>671</v>
      </c>
      <c r="B165" s="580" t="s">
        <v>1430</v>
      </c>
      <c r="C165" s="340"/>
      <c r="D165" s="752"/>
      <c r="F165" s="911"/>
    </row>
    <row r="166" spans="1:6">
      <c r="A166" s="759"/>
      <c r="B166" s="751"/>
      <c r="C166" s="328">
        <v>16.830000000000002</v>
      </c>
      <c r="D166" s="329" t="s">
        <v>98</v>
      </c>
      <c r="E166" s="828"/>
      <c r="F166" s="911">
        <f t="shared" si="8"/>
        <v>0</v>
      </c>
    </row>
    <row r="167" spans="1:6">
      <c r="A167" s="759"/>
      <c r="B167" s="751"/>
      <c r="C167" s="328"/>
      <c r="D167" s="329"/>
      <c r="F167" s="911"/>
    </row>
    <row r="168" spans="1:6" ht="38.25">
      <c r="A168" s="342" t="s">
        <v>670</v>
      </c>
      <c r="B168" s="580" t="s">
        <v>669</v>
      </c>
      <c r="C168" s="340"/>
      <c r="D168" s="752"/>
      <c r="F168" s="911"/>
    </row>
    <row r="169" spans="1:6">
      <c r="A169" s="759"/>
      <c r="B169" s="751"/>
      <c r="C169" s="328">
        <v>184.41499999999999</v>
      </c>
      <c r="D169" s="329" t="s">
        <v>98</v>
      </c>
      <c r="E169" s="828"/>
      <c r="F169" s="911">
        <f t="shared" si="8"/>
        <v>0</v>
      </c>
    </row>
    <row r="170" spans="1:6">
      <c r="A170" s="759"/>
      <c r="B170" s="751"/>
      <c r="C170" s="340"/>
      <c r="D170" s="329"/>
      <c r="F170" s="911"/>
    </row>
    <row r="171" spans="1:6" ht="51">
      <c r="A171" s="342" t="s">
        <v>668</v>
      </c>
      <c r="B171" s="580" t="s">
        <v>667</v>
      </c>
      <c r="C171" s="340"/>
      <c r="D171" s="752"/>
      <c r="F171" s="911"/>
    </row>
    <row r="172" spans="1:6">
      <c r="A172" s="759"/>
      <c r="B172" s="751"/>
      <c r="C172" s="328">
        <v>81.290000000000006</v>
      </c>
      <c r="D172" s="329" t="s">
        <v>98</v>
      </c>
      <c r="E172" s="828"/>
      <c r="F172" s="911">
        <f t="shared" si="8"/>
        <v>0</v>
      </c>
    </row>
    <row r="173" spans="1:6">
      <c r="A173" s="759"/>
      <c r="B173" s="751"/>
      <c r="C173" s="340"/>
      <c r="D173" s="329"/>
      <c r="F173" s="911"/>
    </row>
    <row r="174" spans="1:6" ht="51">
      <c r="A174" s="342" t="s">
        <v>666</v>
      </c>
      <c r="B174" s="580" t="s">
        <v>665</v>
      </c>
      <c r="C174" s="340"/>
      <c r="D174" s="752"/>
      <c r="F174" s="911"/>
    </row>
    <row r="175" spans="1:6">
      <c r="A175" s="759"/>
      <c r="B175" s="751"/>
      <c r="C175" s="328">
        <v>37.895000000000003</v>
      </c>
      <c r="D175" s="329" t="s">
        <v>98</v>
      </c>
      <c r="E175" s="828"/>
      <c r="F175" s="911">
        <f t="shared" si="8"/>
        <v>0</v>
      </c>
    </row>
    <row r="176" spans="1:6">
      <c r="A176" s="759"/>
      <c r="B176" s="751"/>
      <c r="C176" s="340"/>
      <c r="D176" s="329"/>
      <c r="F176" s="911"/>
    </row>
    <row r="177" spans="1:256" s="142" customFormat="1">
      <c r="A177" s="734" t="s">
        <v>664</v>
      </c>
      <c r="B177" s="580" t="s">
        <v>663</v>
      </c>
      <c r="C177" s="339"/>
      <c r="D177" s="335"/>
      <c r="E177" s="827"/>
      <c r="F177" s="911"/>
      <c r="IT177" s="144"/>
      <c r="IU177" s="132"/>
      <c r="IV177" s="132"/>
    </row>
    <row r="178" spans="1:256" s="148" customFormat="1">
      <c r="A178" s="137"/>
      <c r="B178" s="136"/>
      <c r="C178" s="168"/>
      <c r="D178" s="133"/>
      <c r="E178" s="825"/>
      <c r="F178" s="911"/>
      <c r="G178" s="149"/>
      <c r="IU178" s="132"/>
      <c r="IV178" s="132"/>
    </row>
    <row r="179" spans="1:256" ht="89.25">
      <c r="A179" s="342" t="s">
        <v>662</v>
      </c>
      <c r="B179" s="580" t="s">
        <v>1431</v>
      </c>
      <c r="C179" s="340"/>
      <c r="D179" s="329"/>
      <c r="F179" s="911"/>
    </row>
    <row r="180" spans="1:256" s="158" customFormat="1">
      <c r="A180" s="342"/>
      <c r="B180" s="580"/>
      <c r="C180" s="328">
        <v>803</v>
      </c>
      <c r="D180" s="329" t="s">
        <v>100</v>
      </c>
      <c r="E180" s="828"/>
      <c r="F180" s="911">
        <f t="shared" si="8"/>
        <v>0</v>
      </c>
      <c r="G180" s="142"/>
      <c r="IU180" s="132"/>
      <c r="IV180" s="132"/>
    </row>
    <row r="181" spans="1:256" s="158" customFormat="1">
      <c r="A181" s="342"/>
      <c r="B181" s="580"/>
      <c r="C181" s="340"/>
      <c r="D181" s="329"/>
      <c r="E181" s="825"/>
      <c r="F181" s="908"/>
      <c r="G181" s="142"/>
      <c r="IU181" s="132"/>
      <c r="IV181" s="132"/>
    </row>
    <row r="182" spans="1:256" s="142" customFormat="1">
      <c r="A182" s="341" t="s">
        <v>661</v>
      </c>
      <c r="B182" s="526" t="s">
        <v>660</v>
      </c>
      <c r="C182" s="339"/>
      <c r="D182" s="335"/>
      <c r="E182" s="827"/>
      <c r="F182" s="907">
        <f>SUM(F155:F181)</f>
        <v>0</v>
      </c>
      <c r="IT182" s="144"/>
      <c r="IU182" s="132"/>
      <c r="IV182" s="132"/>
    </row>
    <row r="183" spans="1:256" s="142" customFormat="1">
      <c r="A183" s="178"/>
      <c r="B183" s="136"/>
      <c r="C183" s="168"/>
      <c r="D183" s="133"/>
      <c r="E183" s="825"/>
      <c r="F183" s="908"/>
      <c r="IU183" s="132"/>
      <c r="IV183" s="132"/>
    </row>
    <row r="184" spans="1:256" s="142" customFormat="1">
      <c r="A184" s="341" t="s">
        <v>652</v>
      </c>
      <c r="B184" s="526" t="s">
        <v>659</v>
      </c>
      <c r="C184" s="339"/>
      <c r="D184" s="335"/>
      <c r="E184" s="827"/>
      <c r="F184" s="910"/>
      <c r="IT184" s="144"/>
      <c r="IU184" s="132"/>
      <c r="IV184" s="132"/>
    </row>
    <row r="185" spans="1:256" s="148" customFormat="1">
      <c r="A185" s="178"/>
      <c r="B185" s="136"/>
      <c r="C185" s="168"/>
      <c r="D185" s="135"/>
      <c r="E185" s="825"/>
      <c r="F185" s="908"/>
      <c r="G185" s="149"/>
      <c r="IU185" s="132"/>
      <c r="IV185" s="132"/>
    </row>
    <row r="186" spans="1:256" s="142" customFormat="1">
      <c r="A186" s="734" t="s">
        <v>658</v>
      </c>
      <c r="B186" s="580" t="s">
        <v>657</v>
      </c>
      <c r="C186" s="339"/>
      <c r="D186" s="335"/>
      <c r="E186" s="827"/>
      <c r="F186" s="910"/>
      <c r="IT186" s="144"/>
      <c r="IU186" s="132"/>
      <c r="IV186" s="132"/>
    </row>
    <row r="187" spans="1:256" s="148" customFormat="1">
      <c r="A187" s="137"/>
      <c r="B187" s="136"/>
      <c r="C187" s="168"/>
      <c r="D187" s="133"/>
      <c r="E187" s="825"/>
      <c r="F187" s="908"/>
      <c r="G187" s="149"/>
      <c r="IU187" s="132"/>
      <c r="IV187" s="132"/>
    </row>
    <row r="188" spans="1:256" ht="89.25">
      <c r="A188" s="342" t="s">
        <v>656</v>
      </c>
      <c r="B188" s="580" t="s">
        <v>1432</v>
      </c>
      <c r="C188" s="340"/>
      <c r="D188" s="329"/>
      <c r="F188" s="908"/>
    </row>
    <row r="189" spans="1:256" s="158" customFormat="1">
      <c r="A189" s="342"/>
      <c r="B189" s="580"/>
      <c r="C189" s="328">
        <v>803</v>
      </c>
      <c r="D189" s="329" t="s">
        <v>100</v>
      </c>
      <c r="E189" s="828"/>
      <c r="F189" s="911">
        <f>ROUND(ROUND(C189,2)*ROUND(E189,2),2)</f>
        <v>0</v>
      </c>
      <c r="G189" s="142"/>
      <c r="IU189" s="132"/>
      <c r="IV189" s="132"/>
    </row>
    <row r="190" spans="1:256" s="158" customFormat="1">
      <c r="A190" s="342"/>
      <c r="B190" s="580"/>
      <c r="C190" s="328"/>
      <c r="D190" s="329"/>
      <c r="E190" s="825"/>
      <c r="F190" s="911"/>
      <c r="G190" s="142"/>
      <c r="IU190" s="132"/>
      <c r="IV190" s="132"/>
    </row>
    <row r="191" spans="1:256" s="158" customFormat="1" ht="89.25">
      <c r="A191" s="342" t="s">
        <v>655</v>
      </c>
      <c r="B191" s="580" t="s">
        <v>1433</v>
      </c>
      <c r="C191" s="340"/>
      <c r="D191" s="329"/>
      <c r="E191" s="825"/>
      <c r="F191" s="911"/>
      <c r="G191" s="142"/>
      <c r="IU191" s="132"/>
      <c r="IV191" s="132"/>
    </row>
    <row r="192" spans="1:256" s="158" customFormat="1">
      <c r="A192" s="342"/>
      <c r="B192" s="580"/>
      <c r="C192" s="328">
        <v>51</v>
      </c>
      <c r="D192" s="329" t="s">
        <v>100</v>
      </c>
      <c r="E192" s="828"/>
      <c r="F192" s="911">
        <f t="shared" ref="F192:F195" si="9">ROUND(ROUND(C192,2)*ROUND(E192,2),2)</f>
        <v>0</v>
      </c>
      <c r="G192" s="142"/>
      <c r="IU192" s="132"/>
      <c r="IV192" s="132"/>
    </row>
    <row r="193" spans="1:256" s="158" customFormat="1">
      <c r="A193" s="743"/>
      <c r="B193" s="744"/>
      <c r="C193" s="745"/>
      <c r="D193" s="746"/>
      <c r="E193" s="836"/>
      <c r="F193" s="911"/>
      <c r="G193" s="142"/>
      <c r="IU193" s="132"/>
      <c r="IV193" s="132"/>
    </row>
    <row r="194" spans="1:256" s="158" customFormat="1" ht="25.5">
      <c r="A194" s="342" t="s">
        <v>654</v>
      </c>
      <c r="B194" s="580" t="s">
        <v>653</v>
      </c>
      <c r="C194" s="340"/>
      <c r="D194" s="329"/>
      <c r="E194" s="825"/>
      <c r="F194" s="911"/>
      <c r="G194" s="142"/>
      <c r="IU194" s="132"/>
      <c r="IV194" s="132"/>
    </row>
    <row r="195" spans="1:256" s="158" customFormat="1">
      <c r="A195" s="342"/>
      <c r="B195" s="580"/>
      <c r="C195" s="328">
        <v>58</v>
      </c>
      <c r="D195" s="329" t="s">
        <v>100</v>
      </c>
      <c r="E195" s="828"/>
      <c r="F195" s="911">
        <f t="shared" si="9"/>
        <v>0</v>
      </c>
      <c r="G195" s="142"/>
      <c r="IU195" s="132"/>
      <c r="IV195" s="132"/>
    </row>
    <row r="196" spans="1:256" s="158" customFormat="1">
      <c r="A196" s="743"/>
      <c r="B196" s="744"/>
      <c r="C196" s="745"/>
      <c r="D196" s="746"/>
      <c r="E196" s="836"/>
      <c r="F196" s="916"/>
      <c r="G196" s="142"/>
      <c r="IU196" s="132"/>
      <c r="IV196" s="132"/>
    </row>
    <row r="197" spans="1:256" s="142" customFormat="1">
      <c r="A197" s="341" t="s">
        <v>652</v>
      </c>
      <c r="B197" s="526" t="s">
        <v>651</v>
      </c>
      <c r="C197" s="339"/>
      <c r="D197" s="335"/>
      <c r="E197" s="827"/>
      <c r="F197" s="907">
        <f>SUM(F188:F196)</f>
        <v>0</v>
      </c>
      <c r="IT197" s="144"/>
      <c r="IU197" s="132"/>
      <c r="IV197" s="132"/>
    </row>
    <row r="198" spans="1:256" s="142" customFormat="1">
      <c r="A198" s="755"/>
      <c r="B198" s="756"/>
      <c r="C198" s="339"/>
      <c r="D198" s="762"/>
      <c r="E198" s="827"/>
      <c r="F198" s="910"/>
      <c r="IT198" s="144"/>
      <c r="IU198" s="132"/>
      <c r="IV198" s="132"/>
    </row>
    <row r="199" spans="1:256" s="142" customFormat="1">
      <c r="A199" s="341" t="s">
        <v>635</v>
      </c>
      <c r="B199" s="526" t="s">
        <v>650</v>
      </c>
      <c r="C199" s="339"/>
      <c r="D199" s="335"/>
      <c r="E199" s="827"/>
      <c r="F199" s="910"/>
      <c r="IT199" s="144"/>
      <c r="IU199" s="132"/>
      <c r="IV199" s="132"/>
    </row>
    <row r="200" spans="1:256" s="148" customFormat="1">
      <c r="A200" s="178"/>
      <c r="B200" s="136"/>
      <c r="C200" s="168"/>
      <c r="D200" s="133"/>
      <c r="E200" s="825"/>
      <c r="F200" s="908"/>
      <c r="G200" s="149"/>
      <c r="IU200" s="132"/>
      <c r="IV200" s="132"/>
    </row>
    <row r="201" spans="1:256" s="142" customFormat="1">
      <c r="A201" s="341" t="s">
        <v>649</v>
      </c>
      <c r="B201" s="526" t="s">
        <v>648</v>
      </c>
      <c r="C201" s="339"/>
      <c r="D201" s="335"/>
      <c r="E201" s="827"/>
      <c r="F201" s="910"/>
      <c r="IT201" s="144"/>
      <c r="IU201" s="132"/>
      <c r="IV201" s="132"/>
    </row>
    <row r="202" spans="1:256" s="148" customFormat="1">
      <c r="A202" s="137"/>
      <c r="B202" s="136"/>
      <c r="C202" s="168"/>
      <c r="D202" s="133"/>
      <c r="E202" s="825"/>
      <c r="F202" s="908"/>
      <c r="G202" s="149"/>
      <c r="IU202" s="132"/>
      <c r="IV202" s="132"/>
    </row>
    <row r="203" spans="1:256" ht="25.5">
      <c r="A203" s="342" t="s">
        <v>647</v>
      </c>
      <c r="B203" s="580" t="s">
        <v>646</v>
      </c>
      <c r="C203" s="340"/>
      <c r="D203" s="329"/>
      <c r="F203" s="908"/>
    </row>
    <row r="204" spans="1:256" s="158" customFormat="1">
      <c r="A204" s="759"/>
      <c r="B204" s="580"/>
      <c r="C204" s="328">
        <v>284.17</v>
      </c>
      <c r="D204" s="133" t="s">
        <v>108</v>
      </c>
      <c r="E204" s="828"/>
      <c r="F204" s="911">
        <f>ROUND(ROUND(C204,2)*ROUND(E204,2),2)</f>
        <v>0</v>
      </c>
      <c r="G204" s="142"/>
      <c r="IU204" s="132"/>
      <c r="IV204" s="132"/>
    </row>
    <row r="205" spans="1:256" s="158" customFormat="1">
      <c r="A205" s="177"/>
      <c r="B205" s="176"/>
      <c r="C205" s="175"/>
      <c r="D205" s="172"/>
      <c r="E205" s="836"/>
      <c r="F205" s="911"/>
      <c r="G205" s="142"/>
      <c r="IU205" s="132"/>
      <c r="IV205" s="132"/>
    </row>
    <row r="206" spans="1:256" s="158" customFormat="1" ht="25.5">
      <c r="A206" s="342" t="s">
        <v>645</v>
      </c>
      <c r="B206" s="580" t="s">
        <v>644</v>
      </c>
      <c r="C206" s="340"/>
      <c r="D206" s="329"/>
      <c r="E206" s="825"/>
      <c r="F206" s="911"/>
      <c r="G206" s="142"/>
      <c r="IU206" s="132"/>
      <c r="IV206" s="132"/>
    </row>
    <row r="207" spans="1:256" s="158" customFormat="1">
      <c r="A207" s="759"/>
      <c r="B207" s="580"/>
      <c r="C207" s="328">
        <v>7</v>
      </c>
      <c r="D207" s="133" t="s">
        <v>108</v>
      </c>
      <c r="E207" s="828"/>
      <c r="F207" s="911">
        <f t="shared" ref="F207:F219" si="10">ROUND(ROUND(C207,2)*ROUND(E207,2),2)</f>
        <v>0</v>
      </c>
      <c r="G207" s="142"/>
      <c r="IU207" s="132"/>
      <c r="IV207" s="132"/>
    </row>
    <row r="208" spans="1:256" s="158" customFormat="1">
      <c r="A208" s="759"/>
      <c r="B208" s="580"/>
      <c r="C208" s="328"/>
      <c r="D208" s="133"/>
      <c r="E208" s="825"/>
      <c r="F208" s="911"/>
      <c r="G208" s="142"/>
      <c r="IU208" s="132"/>
      <c r="IV208" s="132"/>
    </row>
    <row r="209" spans="1:256" s="158" customFormat="1" ht="25.5">
      <c r="A209" s="342" t="s">
        <v>643</v>
      </c>
      <c r="B209" s="580" t="s">
        <v>642</v>
      </c>
      <c r="C209" s="340"/>
      <c r="D209" s="329"/>
      <c r="E209" s="825"/>
      <c r="F209" s="911"/>
      <c r="G209" s="142"/>
      <c r="IU209" s="132"/>
      <c r="IV209" s="132"/>
    </row>
    <row r="210" spans="1:256" s="158" customFormat="1">
      <c r="A210" s="759"/>
      <c r="B210" s="580"/>
      <c r="C210" s="328">
        <v>20</v>
      </c>
      <c r="D210" s="133" t="s">
        <v>108</v>
      </c>
      <c r="E210" s="828"/>
      <c r="F210" s="911">
        <f t="shared" si="10"/>
        <v>0</v>
      </c>
      <c r="G210" s="142"/>
      <c r="IU210" s="132"/>
      <c r="IV210" s="132"/>
    </row>
    <row r="211" spans="1:256" s="158" customFormat="1">
      <c r="A211" s="759"/>
      <c r="B211" s="580"/>
      <c r="C211" s="328"/>
      <c r="D211" s="133"/>
      <c r="E211" s="825"/>
      <c r="F211" s="911"/>
      <c r="G211" s="142"/>
      <c r="IU211" s="132"/>
      <c r="IV211" s="132"/>
    </row>
    <row r="212" spans="1:256" s="158" customFormat="1" ht="25.5">
      <c r="A212" s="342" t="s">
        <v>641</v>
      </c>
      <c r="B212" s="580" t="s">
        <v>640</v>
      </c>
      <c r="C212" s="340"/>
      <c r="D212" s="329"/>
      <c r="E212" s="825"/>
      <c r="F212" s="911"/>
      <c r="G212" s="142"/>
      <c r="IU212" s="132"/>
      <c r="IV212" s="132"/>
    </row>
    <row r="213" spans="1:256" s="158" customFormat="1">
      <c r="A213" s="759"/>
      <c r="B213" s="580"/>
      <c r="C213" s="328">
        <v>446</v>
      </c>
      <c r="D213" s="133" t="s">
        <v>108</v>
      </c>
      <c r="E213" s="828"/>
      <c r="F213" s="911">
        <f t="shared" si="10"/>
        <v>0</v>
      </c>
      <c r="G213" s="142"/>
      <c r="IU213" s="132"/>
      <c r="IV213" s="132"/>
    </row>
    <row r="214" spans="1:256" s="158" customFormat="1">
      <c r="A214" s="743"/>
      <c r="B214" s="744"/>
      <c r="C214" s="745"/>
      <c r="D214" s="172"/>
      <c r="E214" s="836"/>
      <c r="F214" s="911"/>
      <c r="G214" s="142"/>
      <c r="IU214" s="132"/>
      <c r="IV214" s="132"/>
    </row>
    <row r="215" spans="1:256" ht="25.5">
      <c r="A215" s="342" t="s">
        <v>639</v>
      </c>
      <c r="B215" s="580" t="s">
        <v>638</v>
      </c>
      <c r="C215" s="340"/>
      <c r="D215" s="329"/>
      <c r="F215" s="911"/>
    </row>
    <row r="216" spans="1:256" s="158" customFormat="1">
      <c r="A216" s="759"/>
      <c r="B216" s="580"/>
      <c r="C216" s="328">
        <v>29</v>
      </c>
      <c r="D216" s="133" t="s">
        <v>108</v>
      </c>
      <c r="E216" s="828"/>
      <c r="F216" s="911">
        <f t="shared" si="10"/>
        <v>0</v>
      </c>
      <c r="G216" s="142"/>
      <c r="IU216" s="132"/>
      <c r="IV216" s="132"/>
    </row>
    <row r="217" spans="1:256" s="158" customFormat="1">
      <c r="A217" s="759"/>
      <c r="B217" s="580"/>
      <c r="C217" s="328"/>
      <c r="D217" s="133"/>
      <c r="E217" s="825"/>
      <c r="F217" s="911"/>
      <c r="G217" s="142"/>
      <c r="IU217" s="132"/>
      <c r="IV217" s="132"/>
    </row>
    <row r="218" spans="1:256" s="158" customFormat="1" ht="89.25">
      <c r="A218" s="342" t="s">
        <v>637</v>
      </c>
      <c r="B218" s="580" t="s">
        <v>636</v>
      </c>
      <c r="C218" s="340"/>
      <c r="D218" s="329"/>
      <c r="E218" s="825"/>
      <c r="F218" s="911"/>
      <c r="G218" s="142"/>
      <c r="IU218" s="132"/>
      <c r="IV218" s="132"/>
    </row>
    <row r="219" spans="1:256" s="158" customFormat="1">
      <c r="A219" s="759"/>
      <c r="B219" s="580"/>
      <c r="C219" s="328">
        <v>30</v>
      </c>
      <c r="D219" s="133" t="s">
        <v>108</v>
      </c>
      <c r="E219" s="828"/>
      <c r="F219" s="911">
        <f t="shared" si="10"/>
        <v>0</v>
      </c>
      <c r="G219" s="142"/>
      <c r="IU219" s="132"/>
      <c r="IV219" s="132"/>
    </row>
    <row r="220" spans="1:256" s="158" customFormat="1">
      <c r="A220" s="137"/>
      <c r="B220" s="136"/>
      <c r="C220" s="168"/>
      <c r="D220" s="133"/>
      <c r="E220" s="825"/>
      <c r="F220" s="908"/>
      <c r="G220" s="142"/>
      <c r="IU220" s="132"/>
      <c r="IV220" s="132"/>
    </row>
    <row r="221" spans="1:256" s="142" customFormat="1">
      <c r="A221" s="341" t="s">
        <v>635</v>
      </c>
      <c r="B221" s="526" t="s">
        <v>634</v>
      </c>
      <c r="C221" s="339"/>
      <c r="D221" s="335"/>
      <c r="E221" s="827"/>
      <c r="F221" s="907">
        <f>SUM(F203:F220)</f>
        <v>0</v>
      </c>
      <c r="IT221" s="144"/>
      <c r="IU221" s="132"/>
      <c r="IV221" s="132"/>
    </row>
    <row r="222" spans="1:256" s="142" customFormat="1">
      <c r="A222" s="341"/>
      <c r="B222" s="526"/>
      <c r="C222" s="339"/>
      <c r="D222" s="335"/>
      <c r="E222" s="827"/>
      <c r="F222" s="910"/>
      <c r="IT222" s="144"/>
      <c r="IU222" s="132"/>
      <c r="IV222" s="132"/>
    </row>
    <row r="223" spans="1:256" s="142" customFormat="1">
      <c r="A223" s="341" t="s">
        <v>631</v>
      </c>
      <c r="B223" s="526" t="s">
        <v>633</v>
      </c>
      <c r="C223" s="339"/>
      <c r="D223" s="335"/>
      <c r="E223" s="827"/>
      <c r="F223" s="910"/>
      <c r="IT223" s="144"/>
      <c r="IU223" s="132"/>
      <c r="IV223" s="132"/>
    </row>
    <row r="224" spans="1:256" s="148" customFormat="1">
      <c r="A224" s="137"/>
      <c r="B224" s="136"/>
      <c r="C224" s="168"/>
      <c r="D224" s="133"/>
      <c r="E224" s="825"/>
      <c r="F224" s="908"/>
      <c r="G224" s="149"/>
      <c r="IU224" s="132"/>
      <c r="IV224" s="132"/>
    </row>
    <row r="225" spans="1:256" ht="89.25">
      <c r="A225" s="342" t="s">
        <v>632</v>
      </c>
      <c r="B225" s="580" t="s">
        <v>1434</v>
      </c>
      <c r="C225" s="340"/>
      <c r="D225" s="329"/>
      <c r="F225" s="908"/>
    </row>
    <row r="226" spans="1:256" s="158" customFormat="1">
      <c r="A226" s="759"/>
      <c r="B226" s="580"/>
      <c r="C226" s="328">
        <v>205</v>
      </c>
      <c r="D226" s="133" t="s">
        <v>100</v>
      </c>
      <c r="E226" s="828"/>
      <c r="F226" s="911">
        <f>ROUND(ROUND(C226,2)*ROUND(E226,2),2)</f>
        <v>0</v>
      </c>
      <c r="G226" s="142"/>
      <c r="IU226" s="132"/>
      <c r="IV226" s="132"/>
    </row>
    <row r="227" spans="1:256" s="158" customFormat="1">
      <c r="A227" s="759"/>
      <c r="B227" s="580"/>
      <c r="C227" s="340"/>
      <c r="D227" s="133"/>
      <c r="E227" s="825"/>
      <c r="F227" s="908"/>
      <c r="G227" s="142"/>
      <c r="IU227" s="132"/>
      <c r="IV227" s="132"/>
    </row>
    <row r="228" spans="1:256" s="142" customFormat="1">
      <c r="A228" s="341" t="s">
        <v>631</v>
      </c>
      <c r="B228" s="526" t="s">
        <v>630</v>
      </c>
      <c r="C228" s="339"/>
      <c r="D228" s="335"/>
      <c r="E228" s="827"/>
      <c r="F228" s="907">
        <f>SUM(F226:F226)</f>
        <v>0</v>
      </c>
      <c r="IT228" s="144"/>
      <c r="IU228" s="132"/>
      <c r="IV228" s="132"/>
    </row>
    <row r="229" spans="1:256">
      <c r="C229" s="168"/>
      <c r="D229" s="133"/>
      <c r="F229" s="908"/>
    </row>
    <row r="230" spans="1:256" s="143" customFormat="1">
      <c r="A230" s="341" t="s">
        <v>94</v>
      </c>
      <c r="B230" s="526" t="s">
        <v>629</v>
      </c>
      <c r="C230" s="344"/>
      <c r="D230" s="333"/>
      <c r="E230" s="826"/>
      <c r="F230" s="915">
        <f>F182+F197+F221+F228</f>
        <v>0</v>
      </c>
      <c r="IU230" s="132"/>
      <c r="IV230" s="132"/>
    </row>
    <row r="231" spans="1:256" s="143" customFormat="1">
      <c r="A231" s="341"/>
      <c r="B231" s="526"/>
      <c r="C231" s="344"/>
      <c r="D231" s="333"/>
      <c r="E231" s="826"/>
      <c r="F231" s="909"/>
      <c r="IU231" s="132"/>
      <c r="IV231" s="132"/>
    </row>
    <row r="232" spans="1:256" s="143" customFormat="1">
      <c r="A232" s="341" t="s">
        <v>101</v>
      </c>
      <c r="B232" s="526" t="s">
        <v>248</v>
      </c>
      <c r="C232" s="344"/>
      <c r="D232" s="761"/>
      <c r="E232" s="826"/>
      <c r="F232" s="909"/>
      <c r="IU232" s="132"/>
      <c r="IV232" s="132"/>
    </row>
    <row r="233" spans="1:256" s="143" customFormat="1">
      <c r="A233" s="341"/>
      <c r="B233" s="526"/>
      <c r="C233" s="344"/>
      <c r="D233" s="761"/>
      <c r="E233" s="826"/>
      <c r="F233" s="909"/>
      <c r="IU233" s="132"/>
      <c r="IV233" s="132"/>
    </row>
    <row r="234" spans="1:256" s="143" customFormat="1" ht="129.75">
      <c r="A234" s="342" t="s">
        <v>628</v>
      </c>
      <c r="B234" s="146" t="s">
        <v>627</v>
      </c>
      <c r="C234" s="340"/>
      <c r="D234" s="329"/>
      <c r="E234" s="825"/>
      <c r="F234" s="908"/>
      <c r="IU234" s="132"/>
      <c r="IV234" s="132"/>
    </row>
    <row r="235" spans="1:256" s="143" customFormat="1">
      <c r="A235" s="726"/>
      <c r="B235" s="146"/>
      <c r="C235" s="328">
        <v>18</v>
      </c>
      <c r="D235" s="329" t="s">
        <v>108</v>
      </c>
      <c r="E235" s="838"/>
      <c r="F235" s="911">
        <f>ROUND(ROUND(C235,2)*ROUND(E235,2),2)</f>
        <v>0</v>
      </c>
      <c r="IU235" s="132"/>
      <c r="IV235" s="132"/>
    </row>
    <row r="236" spans="1:256" s="143" customFormat="1">
      <c r="A236" s="726"/>
      <c r="B236" s="146"/>
      <c r="C236" s="328"/>
      <c r="D236" s="329"/>
      <c r="E236" s="833"/>
      <c r="F236" s="911"/>
      <c r="IU236" s="132"/>
      <c r="IV236" s="132"/>
    </row>
    <row r="237" spans="1:256" s="143" customFormat="1" ht="63.75">
      <c r="A237" s="342" t="s">
        <v>626</v>
      </c>
      <c r="B237" s="146" t="s">
        <v>625</v>
      </c>
      <c r="C237" s="340"/>
      <c r="D237" s="329"/>
      <c r="E237" s="825"/>
      <c r="F237" s="911"/>
      <c r="IU237" s="132"/>
      <c r="IV237" s="132"/>
    </row>
    <row r="238" spans="1:256" s="143" customFormat="1">
      <c r="A238" s="726"/>
      <c r="B238" s="146"/>
      <c r="C238" s="328">
        <v>4.8</v>
      </c>
      <c r="D238" s="329" t="s">
        <v>98</v>
      </c>
      <c r="E238" s="838"/>
      <c r="F238" s="911">
        <f t="shared" ref="F238:F243" si="11">ROUND(ROUND(C238,2)*ROUND(E238,2),2)</f>
        <v>0</v>
      </c>
      <c r="IU238" s="132"/>
      <c r="IV238" s="132"/>
    </row>
    <row r="239" spans="1:256" s="143" customFormat="1">
      <c r="A239" s="341"/>
      <c r="B239" s="526"/>
      <c r="C239" s="344"/>
      <c r="D239" s="761"/>
      <c r="E239" s="826"/>
      <c r="F239" s="911"/>
      <c r="IU239" s="132"/>
      <c r="IV239" s="132"/>
    </row>
    <row r="240" spans="1:256" s="143" customFormat="1">
      <c r="A240" s="341"/>
      <c r="B240" s="526" t="s">
        <v>624</v>
      </c>
      <c r="C240" s="344"/>
      <c r="D240" s="761"/>
      <c r="E240" s="826"/>
      <c r="F240" s="911"/>
      <c r="IU240" s="132"/>
      <c r="IV240" s="132"/>
    </row>
    <row r="241" spans="1:256" s="162" customFormat="1">
      <c r="A241" s="734"/>
      <c r="B241" s="146"/>
      <c r="C241" s="340"/>
      <c r="D241" s="329"/>
      <c r="E241" s="833"/>
      <c r="F241" s="911"/>
      <c r="G241" s="163"/>
      <c r="IV241" s="132"/>
    </row>
    <row r="242" spans="1:256" s="162" customFormat="1" ht="159.75" customHeight="1">
      <c r="A242" s="342" t="s">
        <v>623</v>
      </c>
      <c r="B242" s="146" t="s">
        <v>622</v>
      </c>
      <c r="C242" s="340"/>
      <c r="D242" s="329"/>
      <c r="E242" s="825"/>
      <c r="F242" s="911"/>
      <c r="G242" s="163"/>
      <c r="IV242" s="132"/>
    </row>
    <row r="243" spans="1:256" s="162" customFormat="1">
      <c r="A243" s="734"/>
      <c r="B243" s="146"/>
      <c r="C243" s="328">
        <v>69</v>
      </c>
      <c r="D243" s="329" t="s">
        <v>108</v>
      </c>
      <c r="E243" s="828"/>
      <c r="F243" s="911">
        <f t="shared" si="11"/>
        <v>0</v>
      </c>
      <c r="G243" s="163"/>
      <c r="IV243" s="132"/>
    </row>
    <row r="244" spans="1:256" s="162" customFormat="1">
      <c r="A244" s="734"/>
      <c r="B244" s="146"/>
      <c r="C244" s="328"/>
      <c r="D244" s="329"/>
      <c r="E244" s="825"/>
      <c r="F244" s="911"/>
      <c r="G244" s="163"/>
      <c r="IV244" s="132"/>
    </row>
    <row r="245" spans="1:256" s="162" customFormat="1" ht="89.25">
      <c r="A245" s="152" t="s">
        <v>621</v>
      </c>
      <c r="B245" s="146" t="s">
        <v>1446</v>
      </c>
      <c r="C245" s="151"/>
      <c r="D245" s="150"/>
      <c r="E245" s="825"/>
      <c r="F245" s="911"/>
      <c r="G245" s="163"/>
      <c r="IV245" s="132"/>
    </row>
    <row r="246" spans="1:256" s="162" customFormat="1">
      <c r="A246" s="734"/>
      <c r="B246" s="146"/>
      <c r="C246" s="328">
        <v>1</v>
      </c>
      <c r="D246" s="329" t="s">
        <v>113</v>
      </c>
      <c r="E246" s="828"/>
      <c r="F246" s="911">
        <f>ROUND(ROUND(C246,2)*ROUND(E246,2),2)</f>
        <v>0</v>
      </c>
      <c r="G246" s="163"/>
      <c r="IV246" s="132"/>
    </row>
    <row r="247" spans="1:256" s="162" customFormat="1">
      <c r="A247" s="734"/>
      <c r="B247" s="146"/>
      <c r="C247" s="328"/>
      <c r="D247" s="329"/>
      <c r="E247" s="825"/>
      <c r="F247" s="908"/>
      <c r="G247" s="163"/>
      <c r="IV247" s="132"/>
    </row>
    <row r="248" spans="1:256" s="162" customFormat="1">
      <c r="A248" s="734"/>
      <c r="B248" s="526" t="s">
        <v>620</v>
      </c>
      <c r="C248" s="340"/>
      <c r="D248" s="329"/>
      <c r="E248" s="833"/>
      <c r="F248" s="908"/>
      <c r="G248" s="163"/>
      <c r="IV248" s="132"/>
    </row>
    <row r="249" spans="1:256" s="162" customFormat="1">
      <c r="A249" s="734"/>
      <c r="B249" s="146"/>
      <c r="C249" s="340"/>
      <c r="D249" s="329"/>
      <c r="E249" s="833"/>
      <c r="F249" s="908"/>
      <c r="G249" s="163"/>
      <c r="IV249" s="132"/>
    </row>
    <row r="250" spans="1:256" s="162" customFormat="1" ht="25.5">
      <c r="A250" s="763" t="s">
        <v>619</v>
      </c>
      <c r="B250" s="146" t="s">
        <v>618</v>
      </c>
      <c r="C250" s="748"/>
      <c r="D250" s="329"/>
      <c r="E250" s="833"/>
      <c r="F250" s="908"/>
      <c r="G250" s="163"/>
      <c r="IV250" s="132"/>
    </row>
    <row r="251" spans="1:256" s="162" customFormat="1">
      <c r="A251" s="763"/>
      <c r="B251" s="146"/>
      <c r="C251" s="748">
        <v>580</v>
      </c>
      <c r="D251" s="329" t="s">
        <v>100</v>
      </c>
      <c r="E251" s="828"/>
      <c r="F251" s="911">
        <f>ROUND(ROUND(C251,2)*ROUND(E251,2),2)</f>
        <v>0</v>
      </c>
      <c r="G251" s="163"/>
      <c r="IV251" s="132"/>
    </row>
    <row r="252" spans="1:256" s="162" customFormat="1">
      <c r="A252" s="763"/>
      <c r="B252" s="146"/>
      <c r="C252" s="748"/>
      <c r="D252" s="329"/>
      <c r="E252" s="825"/>
      <c r="F252" s="911"/>
      <c r="G252" s="163"/>
      <c r="IV252" s="132"/>
    </row>
    <row r="253" spans="1:256" s="162" customFormat="1" ht="25.5">
      <c r="A253" s="763" t="s">
        <v>617</v>
      </c>
      <c r="B253" s="146" t="s">
        <v>616</v>
      </c>
      <c r="C253" s="764"/>
      <c r="D253" s="765"/>
      <c r="E253" s="839"/>
      <c r="F253" s="911"/>
      <c r="G253" s="163"/>
      <c r="IV253" s="132"/>
    </row>
    <row r="254" spans="1:256" s="162" customFormat="1">
      <c r="A254" s="763"/>
      <c r="B254" s="146"/>
      <c r="C254" s="766">
        <f>C264/0.1*1.3</f>
        <v>64.61</v>
      </c>
      <c r="D254" s="765" t="s">
        <v>100</v>
      </c>
      <c r="E254" s="828"/>
      <c r="F254" s="911">
        <f t="shared" ref="F254:F314" si="12">ROUND(ROUND(C254,2)*ROUND(E254,2),2)</f>
        <v>0</v>
      </c>
      <c r="G254" s="163"/>
      <c r="IV254" s="132"/>
    </row>
    <row r="255" spans="1:256" s="143" customFormat="1">
      <c r="A255" s="593"/>
      <c r="B255" s="146"/>
      <c r="C255" s="328"/>
      <c r="D255" s="329"/>
      <c r="E255" s="825"/>
      <c r="F255" s="911"/>
      <c r="IU255" s="132"/>
      <c r="IV255" s="132"/>
    </row>
    <row r="256" spans="1:256" s="143" customFormat="1" ht="120" customHeight="1">
      <c r="A256" s="593" t="s">
        <v>615</v>
      </c>
      <c r="B256" s="146" t="s">
        <v>614</v>
      </c>
      <c r="C256" s="328"/>
      <c r="D256" s="329"/>
      <c r="E256" s="825"/>
      <c r="F256" s="911"/>
      <c r="IU256" s="132"/>
      <c r="IV256" s="132"/>
    </row>
    <row r="257" spans="1:256" s="143" customFormat="1">
      <c r="A257" s="593"/>
      <c r="B257" s="146"/>
      <c r="C257" s="328">
        <v>96</v>
      </c>
      <c r="D257" s="329" t="s">
        <v>98</v>
      </c>
      <c r="E257" s="828"/>
      <c r="F257" s="911">
        <f t="shared" si="12"/>
        <v>0</v>
      </c>
      <c r="IU257" s="132"/>
      <c r="IV257" s="132"/>
    </row>
    <row r="258" spans="1:256" s="143" customFormat="1">
      <c r="A258" s="593"/>
      <c r="B258" s="146"/>
      <c r="C258" s="328"/>
      <c r="D258" s="329"/>
      <c r="E258" s="825"/>
      <c r="F258" s="911"/>
      <c r="IU258" s="132"/>
      <c r="IV258" s="132"/>
    </row>
    <row r="259" spans="1:256" s="143" customFormat="1" ht="25.5">
      <c r="A259" s="593"/>
      <c r="B259" s="146" t="s">
        <v>613</v>
      </c>
      <c r="C259" s="340"/>
      <c r="D259" s="329"/>
      <c r="E259" s="825"/>
      <c r="F259" s="911"/>
      <c r="IU259" s="132"/>
      <c r="IV259" s="132"/>
    </row>
    <row r="260" spans="1:256" s="143" customFormat="1">
      <c r="A260" s="593" t="s">
        <v>612</v>
      </c>
      <c r="B260" s="146" t="s">
        <v>611</v>
      </c>
      <c r="C260" s="328">
        <f>C257*10</f>
        <v>960</v>
      </c>
      <c r="D260" s="329" t="s">
        <v>116</v>
      </c>
      <c r="E260" s="838"/>
      <c r="F260" s="911">
        <f t="shared" si="12"/>
        <v>0</v>
      </c>
      <c r="IU260" s="132"/>
      <c r="IV260" s="132"/>
    </row>
    <row r="261" spans="1:256" s="143" customFormat="1">
      <c r="A261" s="593" t="s">
        <v>610</v>
      </c>
      <c r="B261" s="146" t="s">
        <v>407</v>
      </c>
      <c r="C261" s="328">
        <f>C257*50</f>
        <v>4800</v>
      </c>
      <c r="D261" s="329" t="s">
        <v>116</v>
      </c>
      <c r="E261" s="828"/>
      <c r="F261" s="911">
        <f t="shared" si="12"/>
        <v>0</v>
      </c>
      <c r="IU261" s="132"/>
      <c r="IV261" s="132"/>
    </row>
    <row r="262" spans="1:256" s="143" customFormat="1">
      <c r="A262" s="593"/>
      <c r="B262" s="146"/>
      <c r="C262" s="328"/>
      <c r="D262" s="329"/>
      <c r="E262" s="825"/>
      <c r="F262" s="911"/>
      <c r="IU262" s="132"/>
      <c r="IV262" s="132"/>
    </row>
    <row r="263" spans="1:256" s="143" customFormat="1" ht="38.25">
      <c r="A263" s="593" t="s">
        <v>609</v>
      </c>
      <c r="B263" s="146" t="s">
        <v>608</v>
      </c>
      <c r="C263" s="328"/>
      <c r="D263" s="329"/>
      <c r="E263" s="825"/>
      <c r="F263" s="911"/>
      <c r="IU263" s="132"/>
      <c r="IV263" s="132"/>
    </row>
    <row r="264" spans="1:256" s="143" customFormat="1">
      <c r="A264" s="763"/>
      <c r="B264" s="146"/>
      <c r="C264" s="328">
        <f>2.22+2.75</f>
        <v>4.9700000000000006</v>
      </c>
      <c r="D264" s="329" t="s">
        <v>98</v>
      </c>
      <c r="E264" s="838"/>
      <c r="F264" s="911">
        <f t="shared" si="12"/>
        <v>0</v>
      </c>
      <c r="IU264" s="132"/>
      <c r="IV264" s="132"/>
    </row>
    <row r="265" spans="1:256" s="162" customFormat="1">
      <c r="A265" s="763"/>
      <c r="B265" s="146"/>
      <c r="C265" s="340"/>
      <c r="D265" s="329"/>
      <c r="E265" s="833"/>
      <c r="F265" s="911"/>
      <c r="G265" s="163"/>
      <c r="IV265" s="132"/>
    </row>
    <row r="266" spans="1:256" s="162" customFormat="1" ht="51">
      <c r="A266" s="593" t="s">
        <v>607</v>
      </c>
      <c r="B266" s="146" t="s">
        <v>606</v>
      </c>
      <c r="C266" s="340"/>
      <c r="D266" s="329"/>
      <c r="E266" s="825"/>
      <c r="F266" s="911"/>
      <c r="G266" s="163"/>
      <c r="IV266" s="132"/>
    </row>
    <row r="267" spans="1:256" s="162" customFormat="1">
      <c r="A267" s="726"/>
      <c r="B267" s="146"/>
      <c r="C267" s="328">
        <v>690</v>
      </c>
      <c r="D267" s="329" t="s">
        <v>100</v>
      </c>
      <c r="E267" s="838"/>
      <c r="F267" s="911">
        <f t="shared" si="12"/>
        <v>0</v>
      </c>
      <c r="G267" s="163"/>
      <c r="IV267" s="132"/>
    </row>
    <row r="268" spans="1:256" s="162" customFormat="1">
      <c r="A268" s="767"/>
      <c r="B268" s="580"/>
      <c r="C268" s="340"/>
      <c r="D268" s="133"/>
      <c r="E268" s="825"/>
      <c r="F268" s="911"/>
      <c r="G268" s="163"/>
      <c r="IV268" s="132"/>
    </row>
    <row r="269" spans="1:256" s="162" customFormat="1" ht="38.25">
      <c r="A269" s="593" t="s">
        <v>605</v>
      </c>
      <c r="B269" s="146" t="s">
        <v>604</v>
      </c>
      <c r="C269" s="340"/>
      <c r="D269" s="329"/>
      <c r="E269" s="825"/>
      <c r="F269" s="911"/>
      <c r="G269" s="163"/>
      <c r="IV269" s="132"/>
    </row>
    <row r="270" spans="1:256" s="162" customFormat="1">
      <c r="A270" s="734"/>
      <c r="B270" s="146"/>
      <c r="C270" s="328">
        <v>145</v>
      </c>
      <c r="D270" s="329" t="s">
        <v>100</v>
      </c>
      <c r="E270" s="838"/>
      <c r="F270" s="911">
        <f t="shared" si="12"/>
        <v>0</v>
      </c>
      <c r="G270" s="163"/>
      <c r="IV270" s="132"/>
    </row>
    <row r="271" spans="1:256" s="162" customFormat="1">
      <c r="A271" s="734"/>
      <c r="B271" s="146"/>
      <c r="C271" s="328"/>
      <c r="D271" s="329"/>
      <c r="E271" s="833"/>
      <c r="F271" s="911"/>
      <c r="G271" s="163"/>
      <c r="IV271" s="132"/>
    </row>
    <row r="272" spans="1:256" s="162" customFormat="1">
      <c r="A272" s="768"/>
      <c r="B272" s="164" t="s">
        <v>603</v>
      </c>
      <c r="C272" s="748"/>
      <c r="D272" s="769"/>
      <c r="E272" s="840"/>
      <c r="F272" s="911"/>
      <c r="G272" s="163"/>
      <c r="IV272" s="132"/>
    </row>
    <row r="273" spans="1:256" s="162" customFormat="1" ht="25.5">
      <c r="A273" s="332"/>
      <c r="B273" s="146" t="s">
        <v>434</v>
      </c>
      <c r="C273" s="328"/>
      <c r="D273" s="329"/>
      <c r="E273" s="825"/>
      <c r="F273" s="911"/>
      <c r="G273" s="163"/>
      <c r="IV273" s="132"/>
    </row>
    <row r="274" spans="1:256" s="162" customFormat="1">
      <c r="A274" s="342"/>
      <c r="B274" s="146" t="s">
        <v>433</v>
      </c>
      <c r="C274" s="328">
        <v>38.4</v>
      </c>
      <c r="D274" s="329"/>
      <c r="E274" s="825"/>
      <c r="F274" s="911">
        <f t="shared" si="12"/>
        <v>0</v>
      </c>
      <c r="G274" s="163"/>
      <c r="IV274" s="132"/>
    </row>
    <row r="275" spans="1:256" s="162" customFormat="1">
      <c r="A275" s="734" t="s">
        <v>602</v>
      </c>
      <c r="B275" s="146" t="s">
        <v>431</v>
      </c>
      <c r="C275" s="328">
        <f>C274*0.7</f>
        <v>26.88</v>
      </c>
      <c r="D275" s="329" t="s">
        <v>98</v>
      </c>
      <c r="E275" s="828"/>
      <c r="F275" s="911">
        <f t="shared" si="12"/>
        <v>0</v>
      </c>
      <c r="G275" s="163"/>
      <c r="IV275" s="132"/>
    </row>
    <row r="276" spans="1:256" s="162" customFormat="1">
      <c r="A276" s="734" t="s">
        <v>601</v>
      </c>
      <c r="B276" s="146" t="s">
        <v>429</v>
      </c>
      <c r="C276" s="328">
        <f>C274*0.2</f>
        <v>7.68</v>
      </c>
      <c r="D276" s="133" t="s">
        <v>98</v>
      </c>
      <c r="E276" s="828"/>
      <c r="F276" s="911">
        <f t="shared" si="12"/>
        <v>0</v>
      </c>
      <c r="G276" s="163"/>
      <c r="IV276" s="132"/>
    </row>
    <row r="277" spans="1:256" s="162" customFormat="1">
      <c r="A277" s="734" t="s">
        <v>600</v>
      </c>
      <c r="B277" s="146" t="s">
        <v>427</v>
      </c>
      <c r="C277" s="328">
        <f>C274*0.1</f>
        <v>3.84</v>
      </c>
      <c r="D277" s="329" t="s">
        <v>98</v>
      </c>
      <c r="E277" s="828"/>
      <c r="F277" s="911">
        <f t="shared" si="12"/>
        <v>0</v>
      </c>
      <c r="G277" s="163"/>
      <c r="IV277" s="132"/>
    </row>
    <row r="278" spans="1:256" s="162" customFormat="1">
      <c r="A278" s="770"/>
      <c r="B278" s="771"/>
      <c r="C278" s="344"/>
      <c r="D278" s="772"/>
      <c r="E278" s="841"/>
      <c r="F278" s="911"/>
      <c r="G278" s="163"/>
      <c r="IV278" s="132"/>
    </row>
    <row r="279" spans="1:256" s="162" customFormat="1" ht="25.5">
      <c r="A279" s="734" t="s">
        <v>599</v>
      </c>
      <c r="B279" s="580" t="s">
        <v>425</v>
      </c>
      <c r="C279" s="340"/>
      <c r="D279" s="754"/>
      <c r="E279" s="825"/>
      <c r="F279" s="911"/>
      <c r="G279" s="163"/>
      <c r="IV279" s="132"/>
    </row>
    <row r="280" spans="1:256" s="162" customFormat="1">
      <c r="A280" s="734"/>
      <c r="B280" s="580"/>
      <c r="C280" s="328">
        <v>62.4</v>
      </c>
      <c r="D280" s="329" t="s">
        <v>100</v>
      </c>
      <c r="E280" s="828"/>
      <c r="F280" s="911">
        <f t="shared" si="12"/>
        <v>0</v>
      </c>
      <c r="G280" s="163"/>
      <c r="IV280" s="132"/>
    </row>
    <row r="281" spans="1:256" s="162" customFormat="1">
      <c r="A281" s="773"/>
      <c r="B281" s="774"/>
      <c r="C281" s="340"/>
      <c r="D281" s="775"/>
      <c r="E281" s="842"/>
      <c r="F281" s="911"/>
      <c r="G281" s="163"/>
      <c r="IV281" s="132"/>
    </row>
    <row r="282" spans="1:256" s="162" customFormat="1" ht="38.25">
      <c r="A282" s="734" t="s">
        <v>598</v>
      </c>
      <c r="B282" s="580" t="s">
        <v>423</v>
      </c>
      <c r="C282" s="340"/>
      <c r="D282" s="754"/>
      <c r="E282" s="825"/>
      <c r="F282" s="911"/>
      <c r="G282" s="163"/>
      <c r="IV282" s="132"/>
    </row>
    <row r="283" spans="1:256" s="162" customFormat="1">
      <c r="A283" s="734"/>
      <c r="B283" s="580"/>
      <c r="C283" s="328">
        <f>C280*0.1</f>
        <v>6.24</v>
      </c>
      <c r="D283" s="329" t="s">
        <v>98</v>
      </c>
      <c r="E283" s="828"/>
      <c r="F283" s="911">
        <f t="shared" si="12"/>
        <v>0</v>
      </c>
      <c r="G283" s="163"/>
      <c r="IV283" s="132"/>
    </row>
    <row r="284" spans="1:256" s="162" customFormat="1">
      <c r="A284" s="773"/>
      <c r="B284" s="774"/>
      <c r="C284" s="340"/>
      <c r="D284" s="775"/>
      <c r="E284" s="842"/>
      <c r="F284" s="911"/>
      <c r="G284" s="163"/>
      <c r="IV284" s="132"/>
    </row>
    <row r="285" spans="1:256" s="162" customFormat="1" ht="51">
      <c r="A285" s="734" t="s">
        <v>597</v>
      </c>
      <c r="B285" s="146" t="s">
        <v>421</v>
      </c>
      <c r="C285" s="340"/>
      <c r="D285" s="329"/>
      <c r="E285" s="825"/>
      <c r="F285" s="911"/>
      <c r="G285" s="163"/>
      <c r="IV285" s="132"/>
    </row>
    <row r="286" spans="1:256" s="162" customFormat="1" ht="25.5">
      <c r="A286" s="734"/>
      <c r="B286" s="146" t="s">
        <v>420</v>
      </c>
      <c r="C286" s="328">
        <v>0</v>
      </c>
      <c r="D286" s="329" t="s">
        <v>98</v>
      </c>
      <c r="E286" s="828"/>
      <c r="F286" s="911">
        <f t="shared" si="12"/>
        <v>0</v>
      </c>
      <c r="G286" s="163"/>
      <c r="IV286" s="132"/>
    </row>
    <row r="287" spans="1:256" s="162" customFormat="1">
      <c r="A287" s="773"/>
      <c r="B287" s="774"/>
      <c r="C287" s="340"/>
      <c r="D287" s="775"/>
      <c r="E287" s="842"/>
      <c r="F287" s="911"/>
      <c r="G287" s="163"/>
      <c r="IV287" s="132"/>
    </row>
    <row r="288" spans="1:256" s="162" customFormat="1" ht="63.75">
      <c r="A288" s="734" t="s">
        <v>596</v>
      </c>
      <c r="B288" s="146" t="s">
        <v>418</v>
      </c>
      <c r="C288" s="340"/>
      <c r="D288" s="329"/>
      <c r="E288" s="825"/>
      <c r="F288" s="911"/>
      <c r="G288" s="163"/>
      <c r="IV288" s="132"/>
    </row>
    <row r="289" spans="1:256" s="162" customFormat="1">
      <c r="A289" s="734"/>
      <c r="B289" s="146"/>
      <c r="C289" s="328">
        <f>C274-C286</f>
        <v>38.4</v>
      </c>
      <c r="D289" s="329" t="s">
        <v>98</v>
      </c>
      <c r="E289" s="828"/>
      <c r="F289" s="911">
        <f t="shared" si="12"/>
        <v>0</v>
      </c>
      <c r="G289" s="163"/>
      <c r="IV289" s="132"/>
    </row>
    <row r="290" spans="1:256" s="162" customFormat="1">
      <c r="A290" s="776"/>
      <c r="B290" s="771"/>
      <c r="C290" s="344"/>
      <c r="D290" s="772"/>
      <c r="E290" s="841"/>
      <c r="F290" s="911"/>
      <c r="G290" s="163"/>
      <c r="IV290" s="132"/>
    </row>
    <row r="291" spans="1:256" s="162" customFormat="1" ht="38.25">
      <c r="A291" s="734" t="s">
        <v>595</v>
      </c>
      <c r="B291" s="146" t="s">
        <v>416</v>
      </c>
      <c r="C291" s="340"/>
      <c r="D291" s="329"/>
      <c r="E291" s="825"/>
      <c r="F291" s="911"/>
      <c r="G291" s="163"/>
      <c r="IV291" s="132"/>
    </row>
    <row r="292" spans="1:256" s="162" customFormat="1">
      <c r="A292" s="342"/>
      <c r="B292" s="146"/>
      <c r="C292" s="328">
        <v>3.2</v>
      </c>
      <c r="D292" s="329" t="s">
        <v>98</v>
      </c>
      <c r="E292" s="828"/>
      <c r="F292" s="911">
        <f t="shared" si="12"/>
        <v>0</v>
      </c>
      <c r="G292" s="163"/>
      <c r="IV292" s="132"/>
    </row>
    <row r="293" spans="1:256" s="162" customFormat="1">
      <c r="A293" s="773"/>
      <c r="B293" s="165"/>
      <c r="C293" s="340"/>
      <c r="D293" s="775"/>
      <c r="E293" s="842"/>
      <c r="F293" s="911"/>
      <c r="G293" s="163"/>
      <c r="IV293" s="132"/>
    </row>
    <row r="294" spans="1:256" s="162" customFormat="1" ht="51">
      <c r="A294" s="734" t="s">
        <v>594</v>
      </c>
      <c r="B294" s="146" t="s">
        <v>474</v>
      </c>
      <c r="C294" s="340"/>
      <c r="D294" s="329"/>
      <c r="E294" s="825"/>
      <c r="F294" s="911"/>
      <c r="G294" s="163"/>
      <c r="IV294" s="132"/>
    </row>
    <row r="295" spans="1:256" s="162" customFormat="1">
      <c r="A295" s="734"/>
      <c r="B295" s="146"/>
      <c r="C295" s="328">
        <v>19.2</v>
      </c>
      <c r="D295" s="329" t="s">
        <v>98</v>
      </c>
      <c r="E295" s="828"/>
      <c r="F295" s="911">
        <f t="shared" si="12"/>
        <v>0</v>
      </c>
      <c r="G295" s="163"/>
      <c r="IV295" s="132"/>
    </row>
    <row r="296" spans="1:256" s="162" customFormat="1">
      <c r="A296" s="734"/>
      <c r="B296" s="146"/>
      <c r="C296" s="328"/>
      <c r="D296" s="329"/>
      <c r="E296" s="825"/>
      <c r="F296" s="911"/>
      <c r="G296" s="163"/>
      <c r="IV296" s="132"/>
    </row>
    <row r="297" spans="1:256" s="162" customFormat="1" ht="102">
      <c r="A297" s="734" t="s">
        <v>593</v>
      </c>
      <c r="B297" s="146" t="s">
        <v>472</v>
      </c>
      <c r="C297" s="340"/>
      <c r="D297" s="329"/>
      <c r="E297" s="825"/>
      <c r="F297" s="911"/>
      <c r="G297" s="163"/>
      <c r="IV297" s="132"/>
    </row>
    <row r="298" spans="1:256" s="162" customFormat="1">
      <c r="A298" s="734"/>
      <c r="B298" s="146"/>
      <c r="C298" s="328">
        <v>3.2</v>
      </c>
      <c r="D298" s="329" t="s">
        <v>98</v>
      </c>
      <c r="E298" s="828"/>
      <c r="F298" s="911">
        <f t="shared" si="12"/>
        <v>0</v>
      </c>
      <c r="G298" s="163"/>
      <c r="IV298" s="132"/>
    </row>
    <row r="299" spans="1:256" s="162" customFormat="1">
      <c r="A299" s="770"/>
      <c r="B299" s="165"/>
      <c r="C299" s="340"/>
      <c r="D299" s="775"/>
      <c r="E299" s="842"/>
      <c r="F299" s="911"/>
      <c r="G299" s="163"/>
      <c r="IV299" s="132"/>
    </row>
    <row r="300" spans="1:256" s="162" customFormat="1" ht="114.75">
      <c r="A300" s="734" t="s">
        <v>592</v>
      </c>
      <c r="B300" s="146" t="s">
        <v>470</v>
      </c>
      <c r="C300" s="340"/>
      <c r="D300" s="329"/>
      <c r="E300" s="825"/>
      <c r="F300" s="911"/>
      <c r="G300" s="163"/>
      <c r="IV300" s="132"/>
    </row>
    <row r="301" spans="1:256" s="162" customFormat="1">
      <c r="A301" s="342"/>
      <c r="B301" s="146"/>
      <c r="C301" s="328">
        <v>34.799999999999997</v>
      </c>
      <c r="D301" s="329" t="s">
        <v>98</v>
      </c>
      <c r="E301" s="828"/>
      <c r="F301" s="911">
        <f t="shared" si="12"/>
        <v>0</v>
      </c>
      <c r="G301" s="163"/>
      <c r="IV301" s="132"/>
    </row>
    <row r="302" spans="1:256" s="162" customFormat="1">
      <c r="A302" s="773"/>
      <c r="B302" s="165"/>
      <c r="C302" s="340"/>
      <c r="D302" s="775"/>
      <c r="E302" s="842"/>
      <c r="F302" s="911"/>
      <c r="G302" s="163"/>
      <c r="IV302" s="132"/>
    </row>
    <row r="303" spans="1:256" s="162" customFormat="1" ht="25.5">
      <c r="A303" s="342"/>
      <c r="B303" s="146" t="s">
        <v>411</v>
      </c>
      <c r="C303" s="340"/>
      <c r="D303" s="329"/>
      <c r="E303" s="825"/>
      <c r="F303" s="911"/>
      <c r="G303" s="163"/>
      <c r="IV303" s="132"/>
    </row>
    <row r="304" spans="1:256" s="162" customFormat="1">
      <c r="A304" s="734" t="s">
        <v>591</v>
      </c>
      <c r="B304" s="146" t="s">
        <v>409</v>
      </c>
      <c r="C304" s="328">
        <f>(C295+C298)*60+C301*30</f>
        <v>2388</v>
      </c>
      <c r="D304" s="329" t="s">
        <v>116</v>
      </c>
      <c r="E304" s="828"/>
      <c r="F304" s="911">
        <f t="shared" si="12"/>
        <v>0</v>
      </c>
      <c r="G304" s="163"/>
      <c r="IV304" s="132"/>
    </row>
    <row r="305" spans="1:256" s="162" customFormat="1">
      <c r="A305" s="734" t="s">
        <v>590</v>
      </c>
      <c r="B305" s="146" t="s">
        <v>407</v>
      </c>
      <c r="C305" s="328">
        <f>(C295+C298)*50+C301*50</f>
        <v>2860</v>
      </c>
      <c r="D305" s="329" t="s">
        <v>116</v>
      </c>
      <c r="E305" s="828"/>
      <c r="F305" s="911">
        <f t="shared" si="12"/>
        <v>0</v>
      </c>
      <c r="G305" s="163"/>
      <c r="IV305" s="132"/>
    </row>
    <row r="306" spans="1:256" s="162" customFormat="1">
      <c r="A306" s="773"/>
      <c r="B306" s="165"/>
      <c r="C306" s="340"/>
      <c r="D306" s="775"/>
      <c r="E306" s="842"/>
      <c r="F306" s="911"/>
      <c r="G306" s="163"/>
      <c r="IV306" s="132"/>
    </row>
    <row r="307" spans="1:256" s="162" customFormat="1" ht="51">
      <c r="A307" s="734" t="s">
        <v>589</v>
      </c>
      <c r="B307" s="146" t="s">
        <v>466</v>
      </c>
      <c r="C307" s="340"/>
      <c r="D307" s="329"/>
      <c r="E307" s="825"/>
      <c r="F307" s="911"/>
      <c r="G307" s="163"/>
      <c r="IV307" s="132"/>
    </row>
    <row r="308" spans="1:256" s="162" customFormat="1">
      <c r="A308" s="734"/>
      <c r="B308" s="146"/>
      <c r="C308" s="328">
        <v>16.3</v>
      </c>
      <c r="D308" s="329" t="s">
        <v>100</v>
      </c>
      <c r="E308" s="828"/>
      <c r="F308" s="911">
        <f t="shared" si="12"/>
        <v>0</v>
      </c>
      <c r="G308" s="163"/>
      <c r="IV308" s="132"/>
    </row>
    <row r="309" spans="1:256" s="162" customFormat="1">
      <c r="A309" s="770"/>
      <c r="B309" s="165"/>
      <c r="C309" s="340"/>
      <c r="D309" s="775"/>
      <c r="E309" s="842"/>
      <c r="F309" s="911"/>
      <c r="G309" s="163"/>
      <c r="IV309" s="132"/>
    </row>
    <row r="310" spans="1:256" s="162" customFormat="1" ht="38.25">
      <c r="A310" s="734" t="s">
        <v>588</v>
      </c>
      <c r="B310" s="146" t="s">
        <v>587</v>
      </c>
      <c r="C310" s="340"/>
      <c r="D310" s="329"/>
      <c r="E310" s="825"/>
      <c r="F310" s="911"/>
      <c r="G310" s="163"/>
      <c r="IV310" s="132"/>
    </row>
    <row r="311" spans="1:256" s="162" customFormat="1">
      <c r="A311" s="342"/>
      <c r="B311" s="146"/>
      <c r="C311" s="328">
        <v>61</v>
      </c>
      <c r="D311" s="329" t="s">
        <v>100</v>
      </c>
      <c r="E311" s="828"/>
      <c r="F311" s="911">
        <f t="shared" si="12"/>
        <v>0</v>
      </c>
      <c r="G311" s="163"/>
      <c r="IV311" s="132"/>
    </row>
    <row r="312" spans="1:256" s="162" customFormat="1">
      <c r="A312" s="342"/>
      <c r="B312" s="146"/>
      <c r="C312" s="328"/>
      <c r="D312" s="329"/>
      <c r="E312" s="825"/>
      <c r="F312" s="911"/>
      <c r="G312" s="163"/>
      <c r="IV312" s="132"/>
    </row>
    <row r="313" spans="1:256" s="162" customFormat="1" ht="38.25">
      <c r="A313" s="734" t="s">
        <v>586</v>
      </c>
      <c r="B313" s="146" t="s">
        <v>585</v>
      </c>
      <c r="C313" s="340"/>
      <c r="D313" s="329"/>
      <c r="E313" s="825"/>
      <c r="F313" s="911"/>
      <c r="G313" s="163"/>
      <c r="IV313" s="132"/>
    </row>
    <row r="314" spans="1:256" s="162" customFormat="1">
      <c r="A314" s="342"/>
      <c r="B314" s="146"/>
      <c r="C314" s="328">
        <v>112</v>
      </c>
      <c r="D314" s="329" t="s">
        <v>100</v>
      </c>
      <c r="E314" s="828"/>
      <c r="F314" s="911">
        <f t="shared" si="12"/>
        <v>0</v>
      </c>
      <c r="G314" s="163"/>
      <c r="IV314" s="132"/>
    </row>
    <row r="315" spans="1:256" s="162" customFormat="1">
      <c r="A315" s="770"/>
      <c r="B315" s="165"/>
      <c r="C315" s="340"/>
      <c r="D315" s="775"/>
      <c r="E315" s="842"/>
      <c r="F315" s="911"/>
      <c r="G315" s="163"/>
      <c r="IV315" s="132"/>
    </row>
    <row r="316" spans="1:256" s="162" customFormat="1" ht="38.25">
      <c r="A316" s="734" t="s">
        <v>584</v>
      </c>
      <c r="B316" s="146" t="s">
        <v>460</v>
      </c>
      <c r="C316" s="340"/>
      <c r="D316" s="329"/>
      <c r="E316" s="825"/>
      <c r="F316" s="911"/>
      <c r="G316" s="163"/>
      <c r="IV316" s="132"/>
    </row>
    <row r="317" spans="1:256" s="162" customFormat="1">
      <c r="A317" s="342"/>
      <c r="B317" s="146"/>
      <c r="C317" s="328">
        <v>6.5</v>
      </c>
      <c r="D317" s="329" t="s">
        <v>100</v>
      </c>
      <c r="E317" s="828"/>
      <c r="F317" s="911">
        <f t="shared" ref="F317:F376" si="13">ROUND(ROUND(C317,2)*ROUND(E317,2),2)</f>
        <v>0</v>
      </c>
      <c r="G317" s="163"/>
      <c r="IV317" s="132"/>
    </row>
    <row r="318" spans="1:256" s="162" customFormat="1">
      <c r="A318" s="342"/>
      <c r="B318" s="146"/>
      <c r="C318" s="328"/>
      <c r="D318" s="329"/>
      <c r="E318" s="825"/>
      <c r="F318" s="911"/>
      <c r="G318" s="163"/>
      <c r="IV318" s="132"/>
    </row>
    <row r="319" spans="1:256" s="162" customFormat="1" ht="51">
      <c r="A319" s="734" t="s">
        <v>583</v>
      </c>
      <c r="B319" s="146" t="s">
        <v>582</v>
      </c>
      <c r="C319" s="340"/>
      <c r="D319" s="329"/>
      <c r="E319" s="825"/>
      <c r="F319" s="911"/>
      <c r="G319" s="163"/>
      <c r="IV319" s="132"/>
    </row>
    <row r="320" spans="1:256" s="162" customFormat="1">
      <c r="A320" s="342"/>
      <c r="B320" s="146"/>
      <c r="C320" s="328">
        <v>15.6</v>
      </c>
      <c r="D320" s="329" t="s">
        <v>100</v>
      </c>
      <c r="E320" s="828"/>
      <c r="F320" s="911">
        <f t="shared" si="13"/>
        <v>0</v>
      </c>
      <c r="G320" s="163"/>
      <c r="IV320" s="132"/>
    </row>
    <row r="321" spans="1:256" s="162" customFormat="1">
      <c r="A321" s="342"/>
      <c r="B321" s="146"/>
      <c r="C321" s="328"/>
      <c r="D321" s="329"/>
      <c r="E321" s="825"/>
      <c r="F321" s="911"/>
      <c r="G321" s="163"/>
      <c r="IV321" s="132"/>
    </row>
    <row r="322" spans="1:256" s="162" customFormat="1" ht="51">
      <c r="A322" s="734" t="s">
        <v>581</v>
      </c>
      <c r="B322" s="146" t="s">
        <v>580</v>
      </c>
      <c r="C322" s="340"/>
      <c r="D322" s="329"/>
      <c r="E322" s="825"/>
      <c r="F322" s="911"/>
      <c r="G322" s="163"/>
      <c r="IV322" s="132"/>
    </row>
    <row r="323" spans="1:256" s="162" customFormat="1">
      <c r="A323" s="342"/>
      <c r="B323" s="146"/>
      <c r="C323" s="328">
        <v>11.5</v>
      </c>
      <c r="D323" s="329" t="s">
        <v>100</v>
      </c>
      <c r="E323" s="828"/>
      <c r="F323" s="911">
        <f t="shared" si="13"/>
        <v>0</v>
      </c>
      <c r="G323" s="163"/>
      <c r="IV323" s="132"/>
    </row>
    <row r="324" spans="1:256" s="162" customFormat="1">
      <c r="A324" s="773"/>
      <c r="B324" s="165"/>
      <c r="C324" s="340"/>
      <c r="D324" s="775"/>
      <c r="E324" s="842"/>
      <c r="F324" s="911"/>
      <c r="G324" s="163"/>
      <c r="IV324" s="132"/>
    </row>
    <row r="325" spans="1:256" s="162" customFormat="1" ht="38.25">
      <c r="A325" s="734" t="s">
        <v>579</v>
      </c>
      <c r="B325" s="146" t="s">
        <v>399</v>
      </c>
      <c r="C325" s="340"/>
      <c r="D325" s="329"/>
      <c r="E325" s="825"/>
      <c r="F325" s="911"/>
      <c r="G325" s="163"/>
      <c r="IV325" s="132"/>
    </row>
    <row r="326" spans="1:256" s="162" customFormat="1">
      <c r="A326" s="342"/>
      <c r="B326" s="146"/>
      <c r="C326" s="328">
        <f>115*2</f>
        <v>230</v>
      </c>
      <c r="D326" s="329" t="s">
        <v>108</v>
      </c>
      <c r="E326" s="828"/>
      <c r="F326" s="911">
        <f t="shared" si="13"/>
        <v>0</v>
      </c>
      <c r="G326" s="163"/>
      <c r="IV326" s="132"/>
    </row>
    <row r="327" spans="1:256" s="162" customFormat="1">
      <c r="A327" s="342"/>
      <c r="B327" s="146"/>
      <c r="C327" s="328"/>
      <c r="D327" s="329"/>
      <c r="E327" s="825"/>
      <c r="F327" s="911"/>
      <c r="G327" s="163"/>
      <c r="IV327" s="132"/>
    </row>
    <row r="328" spans="1:256" s="162" customFormat="1" ht="25.5">
      <c r="A328" s="734" t="s">
        <v>578</v>
      </c>
      <c r="B328" s="146" t="s">
        <v>397</v>
      </c>
      <c r="C328" s="328"/>
      <c r="D328" s="329"/>
      <c r="E328" s="825"/>
      <c r="F328" s="911"/>
      <c r="G328" s="163"/>
      <c r="IV328" s="132"/>
    </row>
    <row r="329" spans="1:256" s="162" customFormat="1">
      <c r="A329" s="734"/>
      <c r="B329" s="146"/>
      <c r="C329" s="328">
        <f>16*0.3</f>
        <v>4.8</v>
      </c>
      <c r="D329" s="329" t="s">
        <v>108</v>
      </c>
      <c r="E329" s="828"/>
      <c r="F329" s="911">
        <f t="shared" si="13"/>
        <v>0</v>
      </c>
      <c r="G329" s="163"/>
      <c r="IV329" s="132"/>
    </row>
    <row r="330" spans="1:256" s="162" customFormat="1">
      <c r="A330" s="768"/>
      <c r="B330" s="146"/>
      <c r="C330" s="748"/>
      <c r="D330" s="769"/>
      <c r="E330" s="840"/>
      <c r="F330" s="911"/>
      <c r="G330" s="163"/>
      <c r="IV330" s="132"/>
    </row>
    <row r="331" spans="1:256" s="162" customFormat="1">
      <c r="A331" s="768"/>
      <c r="B331" s="164" t="s">
        <v>577</v>
      </c>
      <c r="C331" s="748"/>
      <c r="D331" s="769"/>
      <c r="E331" s="840"/>
      <c r="F331" s="911"/>
      <c r="G331" s="163"/>
      <c r="IV331" s="132"/>
    </row>
    <row r="332" spans="1:256" s="162" customFormat="1" ht="25.5">
      <c r="A332" s="332"/>
      <c r="B332" s="146" t="s">
        <v>434</v>
      </c>
      <c r="C332" s="328"/>
      <c r="D332" s="329"/>
      <c r="E332" s="825"/>
      <c r="F332" s="911"/>
      <c r="G332" s="163"/>
      <c r="IV332" s="132"/>
    </row>
    <row r="333" spans="1:256" s="162" customFormat="1">
      <c r="A333" s="342"/>
      <c r="B333" s="146" t="s">
        <v>433</v>
      </c>
      <c r="C333" s="328">
        <v>68.400000000000006</v>
      </c>
      <c r="D333" s="329"/>
      <c r="E333" s="825"/>
      <c r="F333" s="911">
        <f t="shared" si="13"/>
        <v>0</v>
      </c>
      <c r="G333" s="163"/>
      <c r="IV333" s="132"/>
    </row>
    <row r="334" spans="1:256" s="162" customFormat="1">
      <c r="A334" s="734" t="s">
        <v>576</v>
      </c>
      <c r="B334" s="146" t="s">
        <v>431</v>
      </c>
      <c r="C334" s="328">
        <f>C333*0.7</f>
        <v>47.88</v>
      </c>
      <c r="D334" s="329" t="s">
        <v>98</v>
      </c>
      <c r="E334" s="828"/>
      <c r="F334" s="911">
        <f t="shared" si="13"/>
        <v>0</v>
      </c>
      <c r="G334" s="163"/>
      <c r="IV334" s="132"/>
    </row>
    <row r="335" spans="1:256" s="162" customFormat="1">
      <c r="A335" s="734" t="s">
        <v>575</v>
      </c>
      <c r="B335" s="146" t="s">
        <v>429</v>
      </c>
      <c r="C335" s="328">
        <f>C333*0.2</f>
        <v>13.680000000000001</v>
      </c>
      <c r="D335" s="133" t="s">
        <v>98</v>
      </c>
      <c r="E335" s="828"/>
      <c r="F335" s="911">
        <f t="shared" si="13"/>
        <v>0</v>
      </c>
      <c r="G335" s="163"/>
      <c r="IV335" s="132"/>
    </row>
    <row r="336" spans="1:256" s="162" customFormat="1">
      <c r="A336" s="734" t="s">
        <v>574</v>
      </c>
      <c r="B336" s="146" t="s">
        <v>427</v>
      </c>
      <c r="C336" s="328">
        <f>C333*0.1</f>
        <v>6.8400000000000007</v>
      </c>
      <c r="D336" s="329" t="s">
        <v>98</v>
      </c>
      <c r="E336" s="828"/>
      <c r="F336" s="911">
        <f t="shared" si="13"/>
        <v>0</v>
      </c>
      <c r="G336" s="163"/>
      <c r="IV336" s="132"/>
    </row>
    <row r="337" spans="1:256" s="162" customFormat="1">
      <c r="A337" s="770"/>
      <c r="B337" s="771"/>
      <c r="C337" s="344"/>
      <c r="D337" s="772"/>
      <c r="E337" s="841"/>
      <c r="F337" s="911">
        <f t="shared" si="13"/>
        <v>0</v>
      </c>
      <c r="G337" s="163"/>
      <c r="IV337" s="132"/>
    </row>
    <row r="338" spans="1:256" s="162" customFormat="1" ht="25.5">
      <c r="A338" s="734" t="s">
        <v>573</v>
      </c>
      <c r="B338" s="580" t="s">
        <v>425</v>
      </c>
      <c r="C338" s="328"/>
      <c r="D338" s="754"/>
      <c r="E338" s="825"/>
      <c r="F338" s="911"/>
      <c r="G338" s="163"/>
      <c r="IV338" s="132"/>
    </row>
    <row r="339" spans="1:256" s="162" customFormat="1">
      <c r="A339" s="734"/>
      <c r="B339" s="580"/>
      <c r="C339" s="328">
        <v>111.15</v>
      </c>
      <c r="D339" s="329" t="s">
        <v>100</v>
      </c>
      <c r="E339" s="828"/>
      <c r="F339" s="911">
        <f t="shared" si="13"/>
        <v>0</v>
      </c>
      <c r="G339" s="163"/>
      <c r="IV339" s="132"/>
    </row>
    <row r="340" spans="1:256" s="162" customFormat="1">
      <c r="A340" s="734"/>
      <c r="B340" s="774"/>
      <c r="C340" s="340"/>
      <c r="D340" s="775"/>
      <c r="E340" s="842"/>
      <c r="F340" s="911"/>
      <c r="G340" s="163"/>
      <c r="IV340" s="132"/>
    </row>
    <row r="341" spans="1:256" s="162" customFormat="1" ht="38.25">
      <c r="A341" s="734" t="s">
        <v>572</v>
      </c>
      <c r="B341" s="580" t="s">
        <v>423</v>
      </c>
      <c r="C341" s="328"/>
      <c r="D341" s="754"/>
      <c r="E341" s="825"/>
      <c r="F341" s="911"/>
      <c r="G341" s="163"/>
      <c r="IV341" s="132"/>
    </row>
    <row r="342" spans="1:256" s="162" customFormat="1">
      <c r="A342" s="734"/>
      <c r="B342" s="580"/>
      <c r="C342" s="328">
        <f>C339*0.1</f>
        <v>11.115000000000002</v>
      </c>
      <c r="D342" s="329" t="s">
        <v>98</v>
      </c>
      <c r="E342" s="828"/>
      <c r="F342" s="911">
        <f t="shared" si="13"/>
        <v>0</v>
      </c>
      <c r="G342" s="163"/>
      <c r="IV342" s="132"/>
    </row>
    <row r="343" spans="1:256" s="162" customFormat="1">
      <c r="A343" s="773"/>
      <c r="B343" s="774"/>
      <c r="C343" s="340"/>
      <c r="D343" s="775"/>
      <c r="E343" s="842"/>
      <c r="F343" s="911"/>
      <c r="G343" s="163"/>
      <c r="IV343" s="132"/>
    </row>
    <row r="344" spans="1:256" s="162" customFormat="1" ht="51">
      <c r="A344" s="734" t="s">
        <v>571</v>
      </c>
      <c r="B344" s="146" t="s">
        <v>421</v>
      </c>
      <c r="C344" s="328"/>
      <c r="D344" s="329"/>
      <c r="E344" s="825"/>
      <c r="F344" s="911"/>
      <c r="G344" s="163"/>
      <c r="IV344" s="132"/>
    </row>
    <row r="345" spans="1:256" s="162" customFormat="1" ht="25.5">
      <c r="A345" s="734"/>
      <c r="B345" s="146" t="s">
        <v>420</v>
      </c>
      <c r="C345" s="328">
        <v>0</v>
      </c>
      <c r="D345" s="329" t="s">
        <v>98</v>
      </c>
      <c r="E345" s="828"/>
      <c r="F345" s="911">
        <f t="shared" si="13"/>
        <v>0</v>
      </c>
      <c r="G345" s="163"/>
      <c r="IV345" s="132"/>
    </row>
    <row r="346" spans="1:256" s="162" customFormat="1">
      <c r="A346" s="773"/>
      <c r="B346" s="774"/>
      <c r="C346" s="340"/>
      <c r="D346" s="775"/>
      <c r="E346" s="842"/>
      <c r="F346" s="911"/>
      <c r="G346" s="163"/>
      <c r="IV346" s="132"/>
    </row>
    <row r="347" spans="1:256" s="162" customFormat="1" ht="63.75">
      <c r="A347" s="734" t="s">
        <v>570</v>
      </c>
      <c r="B347" s="146" t="s">
        <v>418</v>
      </c>
      <c r="C347" s="328"/>
      <c r="D347" s="329"/>
      <c r="E347" s="825"/>
      <c r="F347" s="911"/>
      <c r="G347" s="163"/>
      <c r="IV347" s="132"/>
    </row>
    <row r="348" spans="1:256" s="162" customFormat="1">
      <c r="A348" s="734"/>
      <c r="B348" s="146"/>
      <c r="C348" s="328">
        <f>C333-C345</f>
        <v>68.400000000000006</v>
      </c>
      <c r="D348" s="329" t="s">
        <v>98</v>
      </c>
      <c r="E348" s="828"/>
      <c r="F348" s="911">
        <f t="shared" si="13"/>
        <v>0</v>
      </c>
      <c r="G348" s="163"/>
      <c r="IV348" s="132"/>
    </row>
    <row r="349" spans="1:256" s="162" customFormat="1">
      <c r="A349" s="776"/>
      <c r="B349" s="771"/>
      <c r="C349" s="344"/>
      <c r="D349" s="772"/>
      <c r="E349" s="841"/>
      <c r="F349" s="911"/>
      <c r="G349" s="163"/>
      <c r="IV349" s="132"/>
    </row>
    <row r="350" spans="1:256" s="162" customFormat="1" ht="38.25">
      <c r="A350" s="734" t="s">
        <v>569</v>
      </c>
      <c r="B350" s="146" t="s">
        <v>416</v>
      </c>
      <c r="C350" s="328"/>
      <c r="D350" s="329"/>
      <c r="E350" s="825"/>
      <c r="F350" s="911"/>
      <c r="G350" s="163"/>
      <c r="IV350" s="132"/>
    </row>
    <row r="351" spans="1:256" s="162" customFormat="1">
      <c r="A351" s="342"/>
      <c r="B351" s="146"/>
      <c r="C351" s="328">
        <f>85.5*1.3*0.05</f>
        <v>5.557500000000001</v>
      </c>
      <c r="D351" s="329" t="s">
        <v>98</v>
      </c>
      <c r="E351" s="828"/>
      <c r="F351" s="911">
        <f t="shared" si="13"/>
        <v>0</v>
      </c>
      <c r="G351" s="163"/>
      <c r="IV351" s="132"/>
    </row>
    <row r="352" spans="1:256" s="162" customFormat="1">
      <c r="A352" s="773"/>
      <c r="B352" s="165"/>
      <c r="C352" s="340"/>
      <c r="D352" s="775"/>
      <c r="E352" s="842"/>
      <c r="F352" s="911"/>
      <c r="G352" s="163"/>
      <c r="IV352" s="132"/>
    </row>
    <row r="353" spans="1:256" s="162" customFormat="1" ht="51">
      <c r="A353" s="734" t="s">
        <v>568</v>
      </c>
      <c r="B353" s="146" t="s">
        <v>414</v>
      </c>
      <c r="C353" s="328"/>
      <c r="D353" s="329"/>
      <c r="E353" s="825"/>
      <c r="F353" s="911"/>
      <c r="G353" s="163"/>
      <c r="IV353" s="132"/>
    </row>
    <row r="354" spans="1:256" s="162" customFormat="1">
      <c r="A354" s="734"/>
      <c r="B354" s="146"/>
      <c r="C354" s="328">
        <f>34.2*1.1</f>
        <v>37.620000000000005</v>
      </c>
      <c r="D354" s="329" t="s">
        <v>98</v>
      </c>
      <c r="E354" s="828"/>
      <c r="F354" s="911">
        <f t="shared" si="13"/>
        <v>0</v>
      </c>
      <c r="G354" s="163"/>
      <c r="IV354" s="132"/>
    </row>
    <row r="355" spans="1:256" s="162" customFormat="1">
      <c r="A355" s="770"/>
      <c r="B355" s="165"/>
      <c r="C355" s="340"/>
      <c r="D355" s="775"/>
      <c r="E355" s="842"/>
      <c r="F355" s="911"/>
      <c r="G355" s="163"/>
      <c r="IV355" s="132"/>
    </row>
    <row r="356" spans="1:256" s="162" customFormat="1" ht="51">
      <c r="A356" s="734" t="s">
        <v>567</v>
      </c>
      <c r="B356" s="146" t="s">
        <v>412</v>
      </c>
      <c r="C356" s="328"/>
      <c r="D356" s="329"/>
      <c r="E356" s="825"/>
      <c r="F356" s="911"/>
      <c r="G356" s="163"/>
      <c r="IV356" s="132"/>
    </row>
    <row r="357" spans="1:256" s="162" customFormat="1">
      <c r="A357" s="342"/>
      <c r="B357" s="146"/>
      <c r="C357" s="328">
        <v>24.53</v>
      </c>
      <c r="D357" s="329" t="s">
        <v>98</v>
      </c>
      <c r="E357" s="828"/>
      <c r="F357" s="911">
        <f t="shared" si="13"/>
        <v>0</v>
      </c>
      <c r="G357" s="163"/>
      <c r="IV357" s="132"/>
    </row>
    <row r="358" spans="1:256" s="162" customFormat="1">
      <c r="A358" s="773"/>
      <c r="B358" s="165"/>
      <c r="C358" s="340"/>
      <c r="D358" s="775"/>
      <c r="E358" s="842"/>
      <c r="F358" s="911"/>
      <c r="G358" s="163"/>
      <c r="IV358" s="132"/>
    </row>
    <row r="359" spans="1:256" s="162" customFormat="1" ht="25.5">
      <c r="A359" s="342"/>
      <c r="B359" s="146" t="s">
        <v>411</v>
      </c>
      <c r="C359" s="328"/>
      <c r="D359" s="329"/>
      <c r="E359" s="825"/>
      <c r="F359" s="911"/>
      <c r="G359" s="163"/>
      <c r="IV359" s="132"/>
    </row>
    <row r="360" spans="1:256" s="162" customFormat="1">
      <c r="A360" s="734" t="s">
        <v>566</v>
      </c>
      <c r="B360" s="146" t="s">
        <v>409</v>
      </c>
      <c r="C360" s="328">
        <f>C354*60+C357*30</f>
        <v>2993.1000000000004</v>
      </c>
      <c r="D360" s="329" t="s">
        <v>116</v>
      </c>
      <c r="E360" s="828"/>
      <c r="F360" s="911">
        <f t="shared" si="13"/>
        <v>0</v>
      </c>
      <c r="G360" s="163"/>
      <c r="IV360" s="132"/>
    </row>
    <row r="361" spans="1:256" s="162" customFormat="1">
      <c r="A361" s="734" t="s">
        <v>565</v>
      </c>
      <c r="B361" s="146" t="s">
        <v>407</v>
      </c>
      <c r="C361" s="328">
        <f>C354*50+C357*50</f>
        <v>3107.5</v>
      </c>
      <c r="D361" s="329" t="s">
        <v>116</v>
      </c>
      <c r="E361" s="828"/>
      <c r="F361" s="911">
        <f t="shared" si="13"/>
        <v>0</v>
      </c>
      <c r="G361" s="163"/>
      <c r="IV361" s="132"/>
    </row>
    <row r="362" spans="1:256" s="162" customFormat="1">
      <c r="A362" s="773"/>
      <c r="B362" s="165"/>
      <c r="C362" s="340"/>
      <c r="D362" s="775"/>
      <c r="E362" s="842"/>
      <c r="F362" s="911"/>
      <c r="G362" s="163"/>
      <c r="IV362" s="132"/>
    </row>
    <row r="363" spans="1:256" s="162" customFormat="1" ht="51">
      <c r="A363" s="734" t="s">
        <v>564</v>
      </c>
      <c r="B363" s="146" t="s">
        <v>405</v>
      </c>
      <c r="C363" s="328"/>
      <c r="D363" s="329"/>
      <c r="E363" s="825"/>
      <c r="F363" s="911"/>
      <c r="G363" s="163"/>
      <c r="IV363" s="132"/>
    </row>
    <row r="364" spans="1:256" s="162" customFormat="1">
      <c r="A364" s="734"/>
      <c r="B364" s="146"/>
      <c r="C364" s="328">
        <v>62</v>
      </c>
      <c r="D364" s="329" t="s">
        <v>100</v>
      </c>
      <c r="E364" s="828"/>
      <c r="F364" s="911">
        <f t="shared" si="13"/>
        <v>0</v>
      </c>
      <c r="G364" s="163"/>
      <c r="IV364" s="132"/>
    </row>
    <row r="365" spans="1:256" s="162" customFormat="1">
      <c r="A365" s="770"/>
      <c r="B365" s="165"/>
      <c r="C365" s="340"/>
      <c r="D365" s="775"/>
      <c r="E365" s="842"/>
      <c r="F365" s="911"/>
      <c r="G365" s="163"/>
      <c r="IV365" s="132"/>
    </row>
    <row r="366" spans="1:256" s="162" customFormat="1" ht="38.25">
      <c r="A366" s="734" t="s">
        <v>563</v>
      </c>
      <c r="B366" s="146" t="s">
        <v>562</v>
      </c>
      <c r="C366" s="328"/>
      <c r="D366" s="329"/>
      <c r="E366" s="825"/>
      <c r="F366" s="911"/>
      <c r="G366" s="163"/>
      <c r="IV366" s="132"/>
    </row>
    <row r="367" spans="1:256" s="162" customFormat="1">
      <c r="A367" s="342"/>
      <c r="B367" s="146"/>
      <c r="C367" s="328">
        <v>98.2</v>
      </c>
      <c r="D367" s="329" t="s">
        <v>100</v>
      </c>
      <c r="E367" s="828"/>
      <c r="F367" s="911">
        <f t="shared" si="13"/>
        <v>0</v>
      </c>
      <c r="G367" s="163"/>
      <c r="IV367" s="132"/>
    </row>
    <row r="368" spans="1:256" s="162" customFormat="1">
      <c r="A368" s="770"/>
      <c r="B368" s="165"/>
      <c r="C368" s="340"/>
      <c r="D368" s="775"/>
      <c r="E368" s="842"/>
      <c r="F368" s="911"/>
      <c r="G368" s="163"/>
      <c r="IV368" s="132"/>
    </row>
    <row r="369" spans="1:256" s="162" customFormat="1" ht="38.25">
      <c r="A369" s="734" t="s">
        <v>561</v>
      </c>
      <c r="B369" s="146" t="s">
        <v>560</v>
      </c>
      <c r="C369" s="328"/>
      <c r="D369" s="329"/>
      <c r="E369" s="825"/>
      <c r="F369" s="911"/>
      <c r="G369" s="163"/>
      <c r="IV369" s="132"/>
    </row>
    <row r="370" spans="1:256" s="162" customFormat="1">
      <c r="A370" s="342"/>
      <c r="B370" s="146"/>
      <c r="C370" s="328">
        <v>98.2</v>
      </c>
      <c r="D370" s="329" t="s">
        <v>100</v>
      </c>
      <c r="E370" s="828"/>
      <c r="F370" s="911">
        <f t="shared" si="13"/>
        <v>0</v>
      </c>
      <c r="G370" s="163"/>
      <c r="IV370" s="132"/>
    </row>
    <row r="371" spans="1:256" s="162" customFormat="1">
      <c r="A371" s="773"/>
      <c r="B371" s="165"/>
      <c r="C371" s="340"/>
      <c r="D371" s="775"/>
      <c r="E371" s="842"/>
      <c r="F371" s="911"/>
      <c r="G371" s="163"/>
      <c r="IV371" s="132"/>
    </row>
    <row r="372" spans="1:256" s="162" customFormat="1" ht="38.25">
      <c r="A372" s="734" t="s">
        <v>559</v>
      </c>
      <c r="B372" s="146" t="s">
        <v>399</v>
      </c>
      <c r="C372" s="328"/>
      <c r="D372" s="329"/>
      <c r="E372" s="825"/>
      <c r="F372" s="911"/>
      <c r="G372" s="163"/>
      <c r="IV372" s="132"/>
    </row>
    <row r="373" spans="1:256" s="162" customFormat="1">
      <c r="A373" s="734"/>
      <c r="B373" s="146"/>
      <c r="C373" s="328">
        <f>115.5*2</f>
        <v>231</v>
      </c>
      <c r="D373" s="329" t="s">
        <v>108</v>
      </c>
      <c r="E373" s="828"/>
      <c r="F373" s="911">
        <f t="shared" si="13"/>
        <v>0</v>
      </c>
      <c r="G373" s="163"/>
      <c r="IV373" s="132"/>
    </row>
    <row r="374" spans="1:256" s="162" customFormat="1">
      <c r="A374" s="734"/>
      <c r="B374" s="146"/>
      <c r="C374" s="328"/>
      <c r="D374" s="329"/>
      <c r="E374" s="825"/>
      <c r="F374" s="911"/>
      <c r="G374" s="163"/>
      <c r="IV374" s="132"/>
    </row>
    <row r="375" spans="1:256" s="162" customFormat="1" ht="25.5">
      <c r="A375" s="734" t="s">
        <v>558</v>
      </c>
      <c r="B375" s="146" t="s">
        <v>397</v>
      </c>
      <c r="C375" s="328"/>
      <c r="D375" s="329"/>
      <c r="E375" s="825"/>
      <c r="F375" s="911"/>
      <c r="G375" s="163"/>
      <c r="IV375" s="132"/>
    </row>
    <row r="376" spans="1:256" s="162" customFormat="1">
      <c r="A376" s="734"/>
      <c r="B376" s="146"/>
      <c r="C376" s="328">
        <f>57*0.3</f>
        <v>17.099999999999998</v>
      </c>
      <c r="D376" s="329" t="s">
        <v>108</v>
      </c>
      <c r="E376" s="828"/>
      <c r="F376" s="911">
        <f t="shared" si="13"/>
        <v>0</v>
      </c>
      <c r="G376" s="163"/>
      <c r="IV376" s="132"/>
    </row>
    <row r="377" spans="1:256" s="162" customFormat="1">
      <c r="A377" s="768"/>
      <c r="B377" s="146"/>
      <c r="C377" s="748"/>
      <c r="D377" s="769"/>
      <c r="E377" s="840"/>
      <c r="F377" s="911"/>
      <c r="G377" s="163"/>
      <c r="IV377" s="132"/>
    </row>
    <row r="378" spans="1:256" s="162" customFormat="1">
      <c r="A378" s="768"/>
      <c r="B378" s="164" t="s">
        <v>557</v>
      </c>
      <c r="C378" s="748"/>
      <c r="D378" s="769"/>
      <c r="E378" s="840"/>
      <c r="F378" s="911"/>
      <c r="G378" s="163"/>
      <c r="IV378" s="132"/>
    </row>
    <row r="379" spans="1:256" s="162" customFormat="1" ht="25.5">
      <c r="A379" s="332"/>
      <c r="B379" s="146" t="s">
        <v>434</v>
      </c>
      <c r="C379" s="328"/>
      <c r="D379" s="329"/>
      <c r="E379" s="825"/>
      <c r="F379" s="911"/>
      <c r="G379" s="163"/>
      <c r="IV379" s="132"/>
    </row>
    <row r="380" spans="1:256" s="162" customFormat="1">
      <c r="A380" s="342"/>
      <c r="B380" s="146" t="s">
        <v>433</v>
      </c>
      <c r="C380" s="328">
        <v>5</v>
      </c>
      <c r="D380" s="329"/>
      <c r="E380" s="825"/>
      <c r="F380" s="911">
        <f t="shared" ref="F380:F442" si="14">ROUND(ROUND(C380,2)*ROUND(E380,2),2)</f>
        <v>0</v>
      </c>
      <c r="G380" s="163"/>
      <c r="IV380" s="132"/>
    </row>
    <row r="381" spans="1:256" s="162" customFormat="1">
      <c r="A381" s="734" t="s">
        <v>556</v>
      </c>
      <c r="B381" s="146" t="s">
        <v>431</v>
      </c>
      <c r="C381" s="328">
        <f>C380*0.7</f>
        <v>3.5</v>
      </c>
      <c r="D381" s="329" t="s">
        <v>98</v>
      </c>
      <c r="E381" s="828"/>
      <c r="F381" s="911">
        <f t="shared" si="14"/>
        <v>0</v>
      </c>
      <c r="G381" s="163"/>
      <c r="IV381" s="132"/>
    </row>
    <row r="382" spans="1:256" s="162" customFormat="1">
      <c r="A382" s="734" t="s">
        <v>555</v>
      </c>
      <c r="B382" s="146" t="s">
        <v>429</v>
      </c>
      <c r="C382" s="328">
        <f>C380*0.2</f>
        <v>1</v>
      </c>
      <c r="D382" s="133" t="s">
        <v>98</v>
      </c>
      <c r="E382" s="828"/>
      <c r="F382" s="911">
        <f t="shared" si="14"/>
        <v>0</v>
      </c>
      <c r="G382" s="163"/>
      <c r="IV382" s="132"/>
    </row>
    <row r="383" spans="1:256" s="162" customFormat="1">
      <c r="A383" s="734" t="s">
        <v>554</v>
      </c>
      <c r="B383" s="146" t="s">
        <v>427</v>
      </c>
      <c r="C383" s="328">
        <f>C380*0.1</f>
        <v>0.5</v>
      </c>
      <c r="D383" s="329" t="s">
        <v>98</v>
      </c>
      <c r="E383" s="828"/>
      <c r="F383" s="911">
        <f t="shared" si="14"/>
        <v>0</v>
      </c>
      <c r="G383" s="163"/>
      <c r="IV383" s="132"/>
    </row>
    <row r="384" spans="1:256" s="162" customFormat="1">
      <c r="A384" s="770"/>
      <c r="B384" s="771"/>
      <c r="C384" s="344"/>
      <c r="D384" s="772"/>
      <c r="E384" s="841"/>
      <c r="F384" s="911"/>
      <c r="G384" s="163"/>
      <c r="IV384" s="132"/>
    </row>
    <row r="385" spans="1:256" s="162" customFormat="1" ht="25.5">
      <c r="A385" s="734" t="s">
        <v>553</v>
      </c>
      <c r="B385" s="580" t="s">
        <v>425</v>
      </c>
      <c r="C385" s="328"/>
      <c r="D385" s="754"/>
      <c r="E385" s="825"/>
      <c r="F385" s="911"/>
      <c r="G385" s="163"/>
      <c r="IV385" s="132"/>
    </row>
    <row r="386" spans="1:256" s="162" customFormat="1">
      <c r="A386" s="734"/>
      <c r="B386" s="580"/>
      <c r="C386" s="328">
        <v>7.58</v>
      </c>
      <c r="D386" s="329" t="s">
        <v>100</v>
      </c>
      <c r="E386" s="828"/>
      <c r="F386" s="911">
        <f t="shared" si="14"/>
        <v>0</v>
      </c>
      <c r="G386" s="163"/>
      <c r="IV386" s="132"/>
    </row>
    <row r="387" spans="1:256" s="162" customFormat="1">
      <c r="A387" s="734"/>
      <c r="B387" s="774"/>
      <c r="C387" s="340"/>
      <c r="D387" s="775"/>
      <c r="E387" s="842"/>
      <c r="F387" s="911"/>
      <c r="G387" s="163"/>
      <c r="IV387" s="132"/>
    </row>
    <row r="388" spans="1:256" s="162" customFormat="1" ht="38.25">
      <c r="A388" s="734" t="s">
        <v>552</v>
      </c>
      <c r="B388" s="580" t="s">
        <v>423</v>
      </c>
      <c r="C388" s="328"/>
      <c r="D388" s="754"/>
      <c r="E388" s="825"/>
      <c r="F388" s="911"/>
      <c r="G388" s="163"/>
      <c r="IV388" s="132"/>
    </row>
    <row r="389" spans="1:256" s="162" customFormat="1">
      <c r="A389" s="734"/>
      <c r="B389" s="580"/>
      <c r="C389" s="328">
        <f>C386*0.1</f>
        <v>0.75800000000000001</v>
      </c>
      <c r="D389" s="329" t="s">
        <v>98</v>
      </c>
      <c r="E389" s="828"/>
      <c r="F389" s="911">
        <f t="shared" si="14"/>
        <v>0</v>
      </c>
      <c r="G389" s="163"/>
      <c r="IV389" s="132"/>
    </row>
    <row r="390" spans="1:256" s="162" customFormat="1">
      <c r="A390" s="773"/>
      <c r="B390" s="774"/>
      <c r="C390" s="340"/>
      <c r="D390" s="775"/>
      <c r="E390" s="842"/>
      <c r="F390" s="911"/>
      <c r="G390" s="163"/>
      <c r="IV390" s="132"/>
    </row>
    <row r="391" spans="1:256" s="162" customFormat="1" ht="51">
      <c r="A391" s="734" t="s">
        <v>551</v>
      </c>
      <c r="B391" s="146" t="s">
        <v>421</v>
      </c>
      <c r="C391" s="328"/>
      <c r="D391" s="329"/>
      <c r="E391" s="825"/>
      <c r="F391" s="911"/>
      <c r="G391" s="163"/>
      <c r="IV391" s="132"/>
    </row>
    <row r="392" spans="1:256" s="162" customFormat="1" ht="25.5">
      <c r="A392" s="734"/>
      <c r="B392" s="146" t="s">
        <v>420</v>
      </c>
      <c r="C392" s="328">
        <v>0</v>
      </c>
      <c r="D392" s="329" t="s">
        <v>98</v>
      </c>
      <c r="E392" s="828"/>
      <c r="F392" s="911">
        <f t="shared" si="14"/>
        <v>0</v>
      </c>
      <c r="G392" s="163"/>
      <c r="IV392" s="132"/>
    </row>
    <row r="393" spans="1:256" s="162" customFormat="1">
      <c r="A393" s="773"/>
      <c r="B393" s="774"/>
      <c r="C393" s="340"/>
      <c r="D393" s="775"/>
      <c r="E393" s="842"/>
      <c r="F393" s="911"/>
      <c r="G393" s="163"/>
      <c r="IV393" s="132"/>
    </row>
    <row r="394" spans="1:256" s="162" customFormat="1" ht="63.75">
      <c r="A394" s="734" t="s">
        <v>550</v>
      </c>
      <c r="B394" s="146" t="s">
        <v>418</v>
      </c>
      <c r="C394" s="328"/>
      <c r="D394" s="329"/>
      <c r="E394" s="825"/>
      <c r="F394" s="911"/>
      <c r="G394" s="163"/>
      <c r="IV394" s="132"/>
    </row>
    <row r="395" spans="1:256" s="162" customFormat="1">
      <c r="A395" s="734"/>
      <c r="B395" s="146"/>
      <c r="C395" s="328">
        <f>C380-C392</f>
        <v>5</v>
      </c>
      <c r="D395" s="329" t="s">
        <v>98</v>
      </c>
      <c r="E395" s="828"/>
      <c r="F395" s="911">
        <f t="shared" si="14"/>
        <v>0</v>
      </c>
      <c r="G395" s="163"/>
      <c r="IV395" s="132"/>
    </row>
    <row r="396" spans="1:256" s="162" customFormat="1">
      <c r="A396" s="776"/>
      <c r="B396" s="771"/>
      <c r="C396" s="344"/>
      <c r="D396" s="772"/>
      <c r="E396" s="841"/>
      <c r="F396" s="911"/>
      <c r="G396" s="163"/>
      <c r="IV396" s="132"/>
    </row>
    <row r="397" spans="1:256" s="162" customFormat="1" ht="38.25">
      <c r="A397" s="734" t="s">
        <v>549</v>
      </c>
      <c r="B397" s="146" t="s">
        <v>416</v>
      </c>
      <c r="C397" s="328"/>
      <c r="D397" s="329"/>
      <c r="E397" s="825"/>
      <c r="F397" s="911"/>
      <c r="G397" s="163"/>
      <c r="IV397" s="132"/>
    </row>
    <row r="398" spans="1:256" s="162" customFormat="1">
      <c r="A398" s="342"/>
      <c r="B398" s="146"/>
      <c r="C398" s="328">
        <f>C386*0.05</f>
        <v>0.379</v>
      </c>
      <c r="D398" s="329" t="s">
        <v>98</v>
      </c>
      <c r="E398" s="828"/>
      <c r="F398" s="911">
        <f t="shared" si="14"/>
        <v>0</v>
      </c>
      <c r="G398" s="163"/>
      <c r="IV398" s="132"/>
    </row>
    <row r="399" spans="1:256" s="162" customFormat="1">
      <c r="A399" s="773"/>
      <c r="B399" s="165"/>
      <c r="C399" s="340"/>
      <c r="D399" s="775"/>
      <c r="E399" s="842"/>
      <c r="F399" s="911"/>
      <c r="G399" s="163"/>
      <c r="IV399" s="132"/>
    </row>
    <row r="400" spans="1:256" s="162" customFormat="1" ht="51">
      <c r="A400" s="734" t="s">
        <v>548</v>
      </c>
      <c r="B400" s="146" t="s">
        <v>414</v>
      </c>
      <c r="C400" s="328"/>
      <c r="D400" s="329"/>
      <c r="E400" s="825"/>
      <c r="F400" s="911"/>
      <c r="G400" s="163"/>
      <c r="IV400" s="132"/>
    </row>
    <row r="401" spans="1:256" s="162" customFormat="1">
      <c r="A401" s="734"/>
      <c r="B401" s="146"/>
      <c r="C401" s="328">
        <v>2.4</v>
      </c>
      <c r="D401" s="329" t="s">
        <v>98</v>
      </c>
      <c r="E401" s="828"/>
      <c r="F401" s="911">
        <f t="shared" si="14"/>
        <v>0</v>
      </c>
      <c r="G401" s="163"/>
      <c r="IV401" s="132"/>
    </row>
    <row r="402" spans="1:256" s="162" customFormat="1">
      <c r="A402" s="770"/>
      <c r="B402" s="165"/>
      <c r="C402" s="340"/>
      <c r="D402" s="775"/>
      <c r="E402" s="842"/>
      <c r="F402" s="911"/>
      <c r="G402" s="163"/>
      <c r="IV402" s="132"/>
    </row>
    <row r="403" spans="1:256" s="162" customFormat="1" ht="51">
      <c r="A403" s="734" t="s">
        <v>547</v>
      </c>
      <c r="B403" s="146" t="s">
        <v>494</v>
      </c>
      <c r="C403" s="328"/>
      <c r="D403" s="329"/>
      <c r="E403" s="825"/>
      <c r="F403" s="911"/>
      <c r="G403" s="163"/>
      <c r="IV403" s="132"/>
    </row>
    <row r="404" spans="1:256" s="162" customFormat="1">
      <c r="A404" s="342"/>
      <c r="B404" s="146"/>
      <c r="C404" s="328">
        <v>8.5</v>
      </c>
      <c r="D404" s="329" t="s">
        <v>98</v>
      </c>
      <c r="E404" s="828"/>
      <c r="F404" s="911">
        <f t="shared" si="14"/>
        <v>0</v>
      </c>
      <c r="G404" s="163"/>
      <c r="IV404" s="132"/>
    </row>
    <row r="405" spans="1:256" s="162" customFormat="1">
      <c r="A405" s="773"/>
      <c r="B405" s="165"/>
      <c r="C405" s="340"/>
      <c r="D405" s="775"/>
      <c r="E405" s="842"/>
      <c r="F405" s="911"/>
      <c r="G405" s="163"/>
      <c r="IV405" s="132"/>
    </row>
    <row r="406" spans="1:256" s="162" customFormat="1" ht="25.5">
      <c r="A406" s="342"/>
      <c r="B406" s="146" t="s">
        <v>411</v>
      </c>
      <c r="C406" s="328"/>
      <c r="D406" s="329"/>
      <c r="E406" s="825"/>
      <c r="F406" s="911"/>
      <c r="G406" s="163"/>
      <c r="IV406" s="132"/>
    </row>
    <row r="407" spans="1:256" s="162" customFormat="1">
      <c r="A407" s="734" t="s">
        <v>546</v>
      </c>
      <c r="B407" s="146" t="s">
        <v>409</v>
      </c>
      <c r="C407" s="328">
        <f>C401*60+C404*30</f>
        <v>399</v>
      </c>
      <c r="D407" s="329" t="s">
        <v>116</v>
      </c>
      <c r="E407" s="828"/>
      <c r="F407" s="911">
        <f t="shared" si="14"/>
        <v>0</v>
      </c>
      <c r="G407" s="163"/>
      <c r="IV407" s="132"/>
    </row>
    <row r="408" spans="1:256" s="162" customFormat="1">
      <c r="A408" s="734" t="s">
        <v>545</v>
      </c>
      <c r="B408" s="146" t="s">
        <v>407</v>
      </c>
      <c r="C408" s="328">
        <f>C401*50+C404*50</f>
        <v>545</v>
      </c>
      <c r="D408" s="329" t="s">
        <v>116</v>
      </c>
      <c r="E408" s="828"/>
      <c r="F408" s="911">
        <f t="shared" si="14"/>
        <v>0</v>
      </c>
      <c r="G408" s="163"/>
      <c r="IV408" s="132"/>
    </row>
    <row r="409" spans="1:256" s="162" customFormat="1">
      <c r="A409" s="773"/>
      <c r="B409" s="165"/>
      <c r="C409" s="340"/>
      <c r="D409" s="775"/>
      <c r="E409" s="842"/>
      <c r="F409" s="911"/>
      <c r="G409" s="163"/>
      <c r="IV409" s="132"/>
    </row>
    <row r="410" spans="1:256" s="162" customFormat="1" ht="51">
      <c r="A410" s="734" t="s">
        <v>544</v>
      </c>
      <c r="B410" s="146" t="s">
        <v>405</v>
      </c>
      <c r="C410" s="328"/>
      <c r="D410" s="329"/>
      <c r="E410" s="825"/>
      <c r="F410" s="911"/>
      <c r="G410" s="163"/>
      <c r="IV410" s="132"/>
    </row>
    <row r="411" spans="1:256" s="162" customFormat="1">
      <c r="A411" s="734"/>
      <c r="B411" s="146"/>
      <c r="C411" s="328">
        <v>8.1</v>
      </c>
      <c r="D411" s="329" t="s">
        <v>100</v>
      </c>
      <c r="E411" s="828"/>
      <c r="F411" s="911">
        <f t="shared" si="14"/>
        <v>0</v>
      </c>
      <c r="G411" s="163"/>
      <c r="IV411" s="132"/>
    </row>
    <row r="412" spans="1:256" s="162" customFormat="1">
      <c r="A412" s="770"/>
      <c r="B412" s="165"/>
      <c r="C412" s="340"/>
      <c r="D412" s="775"/>
      <c r="E412" s="842"/>
      <c r="F412" s="911"/>
      <c r="G412" s="163"/>
      <c r="IV412" s="132"/>
    </row>
    <row r="413" spans="1:256" s="162" customFormat="1" ht="38.25">
      <c r="A413" s="734" t="s">
        <v>543</v>
      </c>
      <c r="B413" s="146" t="s">
        <v>542</v>
      </c>
      <c r="C413" s="328"/>
      <c r="D413" s="329"/>
      <c r="E413" s="825"/>
      <c r="F413" s="911"/>
      <c r="G413" s="163"/>
      <c r="IV413" s="132"/>
    </row>
    <row r="414" spans="1:256" s="162" customFormat="1">
      <c r="A414" s="342"/>
      <c r="B414" s="146"/>
      <c r="C414" s="328">
        <f>8.5*2</f>
        <v>17</v>
      </c>
      <c r="D414" s="329" t="s">
        <v>100</v>
      </c>
      <c r="E414" s="828"/>
      <c r="F414" s="911">
        <f t="shared" si="14"/>
        <v>0</v>
      </c>
      <c r="G414" s="163"/>
      <c r="IV414" s="132"/>
    </row>
    <row r="415" spans="1:256" s="162" customFormat="1">
      <c r="A415" s="770"/>
      <c r="B415" s="165"/>
      <c r="C415" s="340"/>
      <c r="D415" s="775"/>
      <c r="E415" s="842"/>
      <c r="F415" s="911"/>
      <c r="G415" s="163"/>
      <c r="IV415" s="132"/>
    </row>
    <row r="416" spans="1:256" s="162" customFormat="1" ht="38.25">
      <c r="A416" s="734" t="s">
        <v>541</v>
      </c>
      <c r="B416" s="146" t="s">
        <v>399</v>
      </c>
      <c r="C416" s="328"/>
      <c r="D416" s="329"/>
      <c r="E416" s="825"/>
      <c r="F416" s="911"/>
      <c r="G416" s="163"/>
      <c r="IV416" s="132"/>
    </row>
    <row r="417" spans="1:256" s="162" customFormat="1">
      <c r="A417" s="342"/>
      <c r="B417" s="146"/>
      <c r="C417" s="328">
        <f>9*2</f>
        <v>18</v>
      </c>
      <c r="D417" s="329" t="s">
        <v>108</v>
      </c>
      <c r="E417" s="828"/>
      <c r="F417" s="911">
        <f t="shared" si="14"/>
        <v>0</v>
      </c>
      <c r="G417" s="163"/>
      <c r="IV417" s="132"/>
    </row>
    <row r="418" spans="1:256" s="162" customFormat="1">
      <c r="A418" s="342"/>
      <c r="B418" s="146"/>
      <c r="C418" s="328"/>
      <c r="D418" s="329"/>
      <c r="E418" s="825"/>
      <c r="F418" s="911"/>
      <c r="G418" s="163"/>
      <c r="IV418" s="132"/>
    </row>
    <row r="419" spans="1:256" s="162" customFormat="1" ht="25.5">
      <c r="A419" s="734" t="s">
        <v>540</v>
      </c>
      <c r="B419" s="146" t="s">
        <v>397</v>
      </c>
      <c r="C419" s="328"/>
      <c r="D419" s="329"/>
      <c r="E419" s="825"/>
      <c r="F419" s="911"/>
      <c r="G419" s="163"/>
      <c r="IV419" s="132"/>
    </row>
    <row r="420" spans="1:256" s="162" customFormat="1">
      <c r="A420" s="734"/>
      <c r="B420" s="146"/>
      <c r="C420" s="328">
        <f>7.5*0.3</f>
        <v>2.25</v>
      </c>
      <c r="D420" s="329" t="s">
        <v>108</v>
      </c>
      <c r="E420" s="828"/>
      <c r="F420" s="911">
        <f t="shared" si="14"/>
        <v>0</v>
      </c>
      <c r="G420" s="163"/>
      <c r="IV420" s="132"/>
    </row>
    <row r="421" spans="1:256" s="162" customFormat="1">
      <c r="A421" s="773"/>
      <c r="B421" s="146"/>
      <c r="C421" s="748"/>
      <c r="D421" s="769"/>
      <c r="E421" s="840"/>
      <c r="F421" s="911"/>
      <c r="G421" s="163"/>
      <c r="IV421" s="132"/>
    </row>
    <row r="422" spans="1:256" s="162" customFormat="1">
      <c r="A422" s="734"/>
      <c r="B422" s="164" t="s">
        <v>539</v>
      </c>
      <c r="C422" s="748"/>
      <c r="D422" s="769"/>
      <c r="E422" s="840"/>
      <c r="F422" s="911"/>
      <c r="G422" s="163"/>
      <c r="IV422" s="132"/>
    </row>
    <row r="423" spans="1:256" s="162" customFormat="1" ht="25.5">
      <c r="A423" s="332"/>
      <c r="B423" s="146" t="s">
        <v>434</v>
      </c>
      <c r="C423" s="328"/>
      <c r="D423" s="329"/>
      <c r="E423" s="825"/>
      <c r="F423" s="911"/>
      <c r="G423" s="163"/>
      <c r="IV423" s="132"/>
    </row>
    <row r="424" spans="1:256" s="162" customFormat="1">
      <c r="A424" s="342"/>
      <c r="B424" s="146" t="s">
        <v>433</v>
      </c>
      <c r="C424" s="328">
        <v>3.2</v>
      </c>
      <c r="D424" s="329"/>
      <c r="E424" s="825"/>
      <c r="F424" s="911">
        <f t="shared" si="14"/>
        <v>0</v>
      </c>
      <c r="G424" s="163"/>
      <c r="IV424" s="132"/>
    </row>
    <row r="425" spans="1:256" s="162" customFormat="1">
      <c r="A425" s="734" t="s">
        <v>538</v>
      </c>
      <c r="B425" s="146" t="s">
        <v>431</v>
      </c>
      <c r="C425" s="328">
        <f>C424*0.7</f>
        <v>2.2399999999999998</v>
      </c>
      <c r="D425" s="329" t="s">
        <v>98</v>
      </c>
      <c r="E425" s="828"/>
      <c r="F425" s="911">
        <f t="shared" si="14"/>
        <v>0</v>
      </c>
      <c r="G425" s="163"/>
      <c r="IV425" s="132"/>
    </row>
    <row r="426" spans="1:256" s="162" customFormat="1">
      <c r="A426" s="734" t="s">
        <v>537</v>
      </c>
      <c r="B426" s="146" t="s">
        <v>429</v>
      </c>
      <c r="C426" s="328">
        <f>C424*0.2</f>
        <v>0.64000000000000012</v>
      </c>
      <c r="D426" s="133" t="s">
        <v>98</v>
      </c>
      <c r="E426" s="828"/>
      <c r="F426" s="911">
        <f t="shared" si="14"/>
        <v>0</v>
      </c>
      <c r="G426" s="163"/>
      <c r="IV426" s="132"/>
    </row>
    <row r="427" spans="1:256" s="162" customFormat="1">
      <c r="A427" s="734" t="s">
        <v>536</v>
      </c>
      <c r="B427" s="146" t="s">
        <v>427</v>
      </c>
      <c r="C427" s="328">
        <f>C424*0.1</f>
        <v>0.32000000000000006</v>
      </c>
      <c r="D427" s="329" t="s">
        <v>98</v>
      </c>
      <c r="E427" s="828"/>
      <c r="F427" s="911">
        <f t="shared" si="14"/>
        <v>0</v>
      </c>
      <c r="G427" s="163"/>
      <c r="IV427" s="132"/>
    </row>
    <row r="428" spans="1:256" s="162" customFormat="1">
      <c r="A428" s="770"/>
      <c r="B428" s="771"/>
      <c r="C428" s="344"/>
      <c r="D428" s="772"/>
      <c r="E428" s="841"/>
      <c r="F428" s="911"/>
      <c r="G428" s="163"/>
      <c r="IV428" s="132"/>
    </row>
    <row r="429" spans="1:256" s="162" customFormat="1" ht="25.5">
      <c r="A429" s="734" t="s">
        <v>535</v>
      </c>
      <c r="B429" s="580" t="s">
        <v>425</v>
      </c>
      <c r="C429" s="328"/>
      <c r="D429" s="754"/>
      <c r="E429" s="825"/>
      <c r="F429" s="911"/>
      <c r="G429" s="163"/>
      <c r="IV429" s="132"/>
    </row>
    <row r="430" spans="1:256" s="162" customFormat="1">
      <c r="A430" s="734"/>
      <c r="B430" s="580"/>
      <c r="C430" s="328">
        <v>2.1</v>
      </c>
      <c r="D430" s="329" t="s">
        <v>100</v>
      </c>
      <c r="E430" s="828"/>
      <c r="F430" s="911">
        <f t="shared" si="14"/>
        <v>0</v>
      </c>
      <c r="G430" s="163"/>
      <c r="IV430" s="132"/>
    </row>
    <row r="431" spans="1:256" s="162" customFormat="1">
      <c r="A431" s="734"/>
      <c r="B431" s="774"/>
      <c r="C431" s="340"/>
      <c r="D431" s="775"/>
      <c r="E431" s="842"/>
      <c r="F431" s="911"/>
      <c r="G431" s="163"/>
      <c r="IV431" s="132"/>
    </row>
    <row r="432" spans="1:256" s="162" customFormat="1" ht="38.25">
      <c r="A432" s="734" t="s">
        <v>534</v>
      </c>
      <c r="B432" s="580" t="s">
        <v>423</v>
      </c>
      <c r="C432" s="328"/>
      <c r="D432" s="754"/>
      <c r="E432" s="825"/>
      <c r="F432" s="911"/>
      <c r="G432" s="163"/>
      <c r="IV432" s="132"/>
    </row>
    <row r="433" spans="1:256" s="162" customFormat="1">
      <c r="A433" s="734"/>
      <c r="B433" s="580"/>
      <c r="C433" s="328">
        <f>C430*0.1</f>
        <v>0.21000000000000002</v>
      </c>
      <c r="D433" s="329" t="s">
        <v>98</v>
      </c>
      <c r="E433" s="828"/>
      <c r="F433" s="911">
        <f t="shared" si="14"/>
        <v>0</v>
      </c>
      <c r="G433" s="163"/>
      <c r="IV433" s="132"/>
    </row>
    <row r="434" spans="1:256" s="162" customFormat="1">
      <c r="A434" s="773"/>
      <c r="B434" s="774"/>
      <c r="C434" s="340"/>
      <c r="D434" s="775"/>
      <c r="E434" s="842"/>
      <c r="F434" s="911"/>
      <c r="G434" s="163"/>
      <c r="IV434" s="132"/>
    </row>
    <row r="435" spans="1:256" s="162" customFormat="1" ht="51">
      <c r="A435" s="734" t="s">
        <v>533</v>
      </c>
      <c r="B435" s="146" t="s">
        <v>421</v>
      </c>
      <c r="C435" s="328"/>
      <c r="D435" s="329"/>
      <c r="E435" s="825"/>
      <c r="F435" s="911"/>
      <c r="G435" s="163"/>
      <c r="IV435" s="132"/>
    </row>
    <row r="436" spans="1:256" s="162" customFormat="1" ht="25.5">
      <c r="A436" s="734"/>
      <c r="B436" s="146" t="s">
        <v>420</v>
      </c>
      <c r="C436" s="328">
        <v>0</v>
      </c>
      <c r="D436" s="329" t="s">
        <v>98</v>
      </c>
      <c r="E436" s="828"/>
      <c r="F436" s="911">
        <f t="shared" si="14"/>
        <v>0</v>
      </c>
      <c r="G436" s="163"/>
      <c r="IV436" s="132"/>
    </row>
    <row r="437" spans="1:256" s="162" customFormat="1">
      <c r="A437" s="773"/>
      <c r="B437" s="774"/>
      <c r="C437" s="340"/>
      <c r="D437" s="775"/>
      <c r="E437" s="842"/>
      <c r="F437" s="911"/>
      <c r="G437" s="163"/>
      <c r="IV437" s="132"/>
    </row>
    <row r="438" spans="1:256" s="162" customFormat="1" ht="63.75">
      <c r="A438" s="734" t="s">
        <v>532</v>
      </c>
      <c r="B438" s="146" t="s">
        <v>418</v>
      </c>
      <c r="C438" s="328"/>
      <c r="D438" s="329"/>
      <c r="E438" s="825"/>
      <c r="F438" s="911"/>
      <c r="G438" s="163"/>
      <c r="IV438" s="132"/>
    </row>
    <row r="439" spans="1:256" s="162" customFormat="1">
      <c r="A439" s="734"/>
      <c r="B439" s="146"/>
      <c r="C439" s="328">
        <f>C424-C436</f>
        <v>3.2</v>
      </c>
      <c r="D439" s="329" t="s">
        <v>98</v>
      </c>
      <c r="E439" s="828"/>
      <c r="F439" s="911">
        <f t="shared" si="14"/>
        <v>0</v>
      </c>
      <c r="G439" s="163"/>
      <c r="IV439" s="132"/>
    </row>
    <row r="440" spans="1:256" s="162" customFormat="1">
      <c r="A440" s="776"/>
      <c r="B440" s="771"/>
      <c r="C440" s="344"/>
      <c r="D440" s="772"/>
      <c r="E440" s="841"/>
      <c r="F440" s="911"/>
      <c r="G440" s="163"/>
      <c r="IV440" s="132"/>
    </row>
    <row r="441" spans="1:256" s="162" customFormat="1" ht="38.25">
      <c r="A441" s="734" t="s">
        <v>531</v>
      </c>
      <c r="B441" s="146" t="s">
        <v>416</v>
      </c>
      <c r="C441" s="328"/>
      <c r="D441" s="329"/>
      <c r="E441" s="825"/>
      <c r="F441" s="911"/>
      <c r="G441" s="163"/>
      <c r="IV441" s="132"/>
    </row>
    <row r="442" spans="1:256" s="162" customFormat="1">
      <c r="A442" s="342"/>
      <c r="B442" s="146"/>
      <c r="C442" s="328">
        <f>C430*0.05</f>
        <v>0.10500000000000001</v>
      </c>
      <c r="D442" s="329" t="s">
        <v>98</v>
      </c>
      <c r="E442" s="828"/>
      <c r="F442" s="911">
        <f t="shared" si="14"/>
        <v>0</v>
      </c>
      <c r="G442" s="163"/>
      <c r="IV442" s="132"/>
    </row>
    <row r="443" spans="1:256" s="162" customFormat="1">
      <c r="A443" s="773"/>
      <c r="B443" s="165"/>
      <c r="C443" s="340"/>
      <c r="D443" s="775"/>
      <c r="E443" s="842"/>
      <c r="F443" s="911"/>
      <c r="G443" s="163"/>
      <c r="IV443" s="132"/>
    </row>
    <row r="444" spans="1:256" s="162" customFormat="1" ht="51">
      <c r="A444" s="734" t="s">
        <v>530</v>
      </c>
      <c r="B444" s="146" t="s">
        <v>414</v>
      </c>
      <c r="C444" s="328"/>
      <c r="D444" s="329"/>
      <c r="E444" s="825"/>
      <c r="F444" s="911"/>
      <c r="G444" s="163"/>
      <c r="IV444" s="132"/>
    </row>
    <row r="445" spans="1:256" s="162" customFormat="1">
      <c r="A445" s="734"/>
      <c r="B445" s="146"/>
      <c r="C445" s="328">
        <v>1.6</v>
      </c>
      <c r="D445" s="329" t="s">
        <v>98</v>
      </c>
      <c r="E445" s="828"/>
      <c r="F445" s="911">
        <f t="shared" ref="F445:F505" si="15">ROUND(ROUND(C445,2)*ROUND(E445,2),2)</f>
        <v>0</v>
      </c>
      <c r="G445" s="163"/>
      <c r="IV445" s="132"/>
    </row>
    <row r="446" spans="1:256" s="162" customFormat="1">
      <c r="A446" s="770"/>
      <c r="B446" s="165"/>
      <c r="C446" s="340"/>
      <c r="D446" s="775"/>
      <c r="E446" s="842"/>
      <c r="F446" s="911"/>
      <c r="G446" s="163"/>
      <c r="IV446" s="132"/>
    </row>
    <row r="447" spans="1:256" s="162" customFormat="1" ht="51">
      <c r="A447" s="734" t="s">
        <v>529</v>
      </c>
      <c r="B447" s="146" t="s">
        <v>494</v>
      </c>
      <c r="C447" s="328"/>
      <c r="D447" s="329"/>
      <c r="E447" s="825"/>
      <c r="F447" s="911"/>
      <c r="G447" s="163"/>
      <c r="IV447" s="132"/>
    </row>
    <row r="448" spans="1:256" s="162" customFormat="1">
      <c r="A448" s="342"/>
      <c r="B448" s="146"/>
      <c r="C448" s="328">
        <v>1.6</v>
      </c>
      <c r="D448" s="329" t="s">
        <v>98</v>
      </c>
      <c r="E448" s="828"/>
      <c r="F448" s="911">
        <f t="shared" si="15"/>
        <v>0</v>
      </c>
      <c r="G448" s="163"/>
      <c r="IV448" s="132"/>
    </row>
    <row r="449" spans="1:256" s="162" customFormat="1">
      <c r="A449" s="773"/>
      <c r="B449" s="165"/>
      <c r="C449" s="340"/>
      <c r="D449" s="775"/>
      <c r="E449" s="842"/>
      <c r="F449" s="911"/>
      <c r="G449" s="163"/>
      <c r="IV449" s="132"/>
    </row>
    <row r="450" spans="1:256" s="162" customFormat="1" ht="25.5">
      <c r="A450" s="342"/>
      <c r="B450" s="146" t="s">
        <v>411</v>
      </c>
      <c r="C450" s="328"/>
      <c r="D450" s="329"/>
      <c r="E450" s="825"/>
      <c r="F450" s="911"/>
      <c r="G450" s="163"/>
      <c r="IV450" s="132"/>
    </row>
    <row r="451" spans="1:256" s="162" customFormat="1">
      <c r="A451" s="734" t="s">
        <v>528</v>
      </c>
      <c r="B451" s="146" t="s">
        <v>409</v>
      </c>
      <c r="C451" s="328">
        <f>C445*60+C448*30</f>
        <v>144</v>
      </c>
      <c r="D451" s="329" t="s">
        <v>116</v>
      </c>
      <c r="E451" s="828"/>
      <c r="F451" s="911">
        <f t="shared" si="15"/>
        <v>0</v>
      </c>
      <c r="G451" s="163"/>
      <c r="IV451" s="132"/>
    </row>
    <row r="452" spans="1:256" s="162" customFormat="1">
      <c r="A452" s="734" t="s">
        <v>527</v>
      </c>
      <c r="B452" s="146" t="s">
        <v>407</v>
      </c>
      <c r="C452" s="328">
        <f>C445*50+C448*50</f>
        <v>160</v>
      </c>
      <c r="D452" s="329" t="s">
        <v>116</v>
      </c>
      <c r="E452" s="828"/>
      <c r="F452" s="911">
        <f t="shared" si="15"/>
        <v>0</v>
      </c>
      <c r="G452" s="163"/>
      <c r="IV452" s="132"/>
    </row>
    <row r="453" spans="1:256" s="162" customFormat="1">
      <c r="A453" s="773"/>
      <c r="B453" s="165"/>
      <c r="C453" s="340"/>
      <c r="D453" s="775"/>
      <c r="E453" s="842"/>
      <c r="F453" s="911"/>
      <c r="G453" s="163"/>
      <c r="IV453" s="132"/>
    </row>
    <row r="454" spans="1:256" s="162" customFormat="1" ht="51">
      <c r="A454" s="734" t="s">
        <v>526</v>
      </c>
      <c r="B454" s="146" t="s">
        <v>405</v>
      </c>
      <c r="C454" s="328"/>
      <c r="D454" s="329"/>
      <c r="E454" s="825"/>
      <c r="F454" s="911"/>
      <c r="G454" s="163"/>
      <c r="IV454" s="132"/>
    </row>
    <row r="455" spans="1:256" s="162" customFormat="1">
      <c r="A455" s="734"/>
      <c r="B455" s="146"/>
      <c r="C455" s="328">
        <v>5.6</v>
      </c>
      <c r="D455" s="329" t="s">
        <v>100</v>
      </c>
      <c r="E455" s="828"/>
      <c r="F455" s="911">
        <f t="shared" si="15"/>
        <v>0</v>
      </c>
      <c r="G455" s="163"/>
      <c r="IV455" s="132"/>
    </row>
    <row r="456" spans="1:256" s="162" customFormat="1">
      <c r="A456" s="770"/>
      <c r="B456" s="165"/>
      <c r="C456" s="340"/>
      <c r="D456" s="775"/>
      <c r="E456" s="842"/>
      <c r="F456" s="911"/>
      <c r="G456" s="163"/>
      <c r="IV456" s="132"/>
    </row>
    <row r="457" spans="1:256" s="162" customFormat="1" ht="38.25">
      <c r="A457" s="734" t="s">
        <v>525</v>
      </c>
      <c r="B457" s="146" t="s">
        <v>487</v>
      </c>
      <c r="C457" s="328"/>
      <c r="D457" s="329"/>
      <c r="E457" s="825"/>
      <c r="F457" s="911"/>
      <c r="G457" s="163"/>
      <c r="IV457" s="132"/>
    </row>
    <row r="458" spans="1:256" s="162" customFormat="1">
      <c r="A458" s="342"/>
      <c r="B458" s="146"/>
      <c r="C458" s="328">
        <v>6.35</v>
      </c>
      <c r="D458" s="329" t="s">
        <v>100</v>
      </c>
      <c r="E458" s="828"/>
      <c r="F458" s="911">
        <f t="shared" si="15"/>
        <v>0</v>
      </c>
      <c r="G458" s="163"/>
      <c r="IV458" s="132"/>
    </row>
    <row r="459" spans="1:256" s="162" customFormat="1">
      <c r="A459" s="770"/>
      <c r="B459" s="165"/>
      <c r="C459" s="340"/>
      <c r="D459" s="775"/>
      <c r="E459" s="842"/>
      <c r="F459" s="911"/>
      <c r="G459" s="163"/>
      <c r="IV459" s="132"/>
    </row>
    <row r="460" spans="1:256" s="162" customFormat="1" ht="38.25">
      <c r="A460" s="734" t="s">
        <v>524</v>
      </c>
      <c r="B460" s="146" t="s">
        <v>399</v>
      </c>
      <c r="C460" s="328"/>
      <c r="D460" s="329"/>
      <c r="E460" s="825"/>
      <c r="F460" s="911"/>
      <c r="G460" s="163"/>
      <c r="IV460" s="132"/>
    </row>
    <row r="461" spans="1:256" s="162" customFormat="1">
      <c r="A461" s="734"/>
      <c r="B461" s="146"/>
      <c r="C461" s="328">
        <v>14</v>
      </c>
      <c r="D461" s="329" t="s">
        <v>108</v>
      </c>
      <c r="E461" s="828"/>
      <c r="F461" s="911">
        <f t="shared" si="15"/>
        <v>0</v>
      </c>
      <c r="G461" s="163"/>
      <c r="IV461" s="132"/>
    </row>
    <row r="462" spans="1:256" s="162" customFormat="1">
      <c r="A462" s="734"/>
      <c r="B462" s="146"/>
      <c r="C462" s="328"/>
      <c r="D462" s="329"/>
      <c r="E462" s="825"/>
      <c r="F462" s="911"/>
      <c r="G462" s="163"/>
      <c r="IV462" s="132"/>
    </row>
    <row r="463" spans="1:256" s="162" customFormat="1" ht="25.5">
      <c r="A463" s="734" t="s">
        <v>523</v>
      </c>
      <c r="B463" s="146" t="s">
        <v>397</v>
      </c>
      <c r="C463" s="328"/>
      <c r="D463" s="329"/>
      <c r="E463" s="825"/>
      <c r="F463" s="911"/>
      <c r="G463" s="163"/>
      <c r="IV463" s="132"/>
    </row>
    <row r="464" spans="1:256" s="162" customFormat="1">
      <c r="A464" s="734"/>
      <c r="B464" s="146"/>
      <c r="C464" s="328">
        <f>4.3*0.3</f>
        <v>1.2899999999999998</v>
      </c>
      <c r="D464" s="329" t="s">
        <v>108</v>
      </c>
      <c r="E464" s="828"/>
      <c r="F464" s="911">
        <f t="shared" si="15"/>
        <v>0</v>
      </c>
      <c r="G464" s="163"/>
      <c r="IV464" s="132"/>
    </row>
    <row r="465" spans="1:256" s="162" customFormat="1">
      <c r="A465" s="768"/>
      <c r="B465" s="146"/>
      <c r="C465" s="748"/>
      <c r="D465" s="769"/>
      <c r="E465" s="840"/>
      <c r="F465" s="911"/>
      <c r="G465" s="163"/>
      <c r="IV465" s="132"/>
    </row>
    <row r="466" spans="1:256" s="162" customFormat="1">
      <c r="A466" s="768"/>
      <c r="B466" s="164" t="s">
        <v>522</v>
      </c>
      <c r="C466" s="748"/>
      <c r="D466" s="769"/>
      <c r="E466" s="840"/>
      <c r="F466" s="911"/>
      <c r="G466" s="163"/>
      <c r="IV466" s="132"/>
    </row>
    <row r="467" spans="1:256" s="162" customFormat="1" ht="25.5">
      <c r="A467" s="332"/>
      <c r="B467" s="146" t="s">
        <v>434</v>
      </c>
      <c r="C467" s="328"/>
      <c r="D467" s="329"/>
      <c r="E467" s="825"/>
      <c r="F467" s="911"/>
      <c r="G467" s="163"/>
      <c r="IV467" s="132"/>
    </row>
    <row r="468" spans="1:256" s="162" customFormat="1">
      <c r="A468" s="342"/>
      <c r="B468" s="146" t="s">
        <v>433</v>
      </c>
      <c r="C468" s="328">
        <v>15</v>
      </c>
      <c r="D468" s="329"/>
      <c r="E468" s="825"/>
      <c r="F468" s="911">
        <f t="shared" si="15"/>
        <v>0</v>
      </c>
      <c r="G468" s="163"/>
      <c r="IV468" s="132"/>
    </row>
    <row r="469" spans="1:256" s="162" customFormat="1">
      <c r="A469" s="734" t="s">
        <v>521</v>
      </c>
      <c r="B469" s="146" t="s">
        <v>431</v>
      </c>
      <c r="C469" s="328">
        <f>C468*0.7</f>
        <v>10.5</v>
      </c>
      <c r="D469" s="329" t="s">
        <v>98</v>
      </c>
      <c r="E469" s="828"/>
      <c r="F469" s="911">
        <f t="shared" si="15"/>
        <v>0</v>
      </c>
      <c r="G469" s="163"/>
      <c r="IV469" s="132"/>
    </row>
    <row r="470" spans="1:256" s="162" customFormat="1">
      <c r="A470" s="734" t="s">
        <v>520</v>
      </c>
      <c r="B470" s="146" t="s">
        <v>429</v>
      </c>
      <c r="C470" s="328">
        <f>C468*0.2</f>
        <v>3</v>
      </c>
      <c r="D470" s="133" t="s">
        <v>98</v>
      </c>
      <c r="E470" s="828"/>
      <c r="F470" s="911">
        <f t="shared" si="15"/>
        <v>0</v>
      </c>
      <c r="G470" s="163"/>
      <c r="IV470" s="132"/>
    </row>
    <row r="471" spans="1:256" s="162" customFormat="1">
      <c r="A471" s="734" t="s">
        <v>519</v>
      </c>
      <c r="B471" s="146" t="s">
        <v>427</v>
      </c>
      <c r="C471" s="328">
        <f>C468*0.1</f>
        <v>1.5</v>
      </c>
      <c r="D471" s="329" t="s">
        <v>98</v>
      </c>
      <c r="E471" s="828"/>
      <c r="F471" s="911">
        <f t="shared" si="15"/>
        <v>0</v>
      </c>
      <c r="G471" s="163"/>
      <c r="IV471" s="132"/>
    </row>
    <row r="472" spans="1:256" s="162" customFormat="1">
      <c r="A472" s="770"/>
      <c r="B472" s="771"/>
      <c r="C472" s="344"/>
      <c r="D472" s="772"/>
      <c r="E472" s="841"/>
      <c r="F472" s="911"/>
      <c r="G472" s="163"/>
      <c r="IV472" s="132"/>
    </row>
    <row r="473" spans="1:256" s="162" customFormat="1" ht="25.5">
      <c r="A473" s="734" t="s">
        <v>518</v>
      </c>
      <c r="B473" s="580" t="s">
        <v>425</v>
      </c>
      <c r="C473" s="328"/>
      <c r="D473" s="754"/>
      <c r="E473" s="825"/>
      <c r="F473" s="911"/>
      <c r="G473" s="163"/>
      <c r="IV473" s="132"/>
    </row>
    <row r="474" spans="1:256" s="162" customFormat="1">
      <c r="A474" s="734"/>
      <c r="B474" s="580"/>
      <c r="C474" s="328">
        <v>23.7</v>
      </c>
      <c r="D474" s="329" t="s">
        <v>100</v>
      </c>
      <c r="E474" s="828"/>
      <c r="F474" s="911">
        <f t="shared" si="15"/>
        <v>0</v>
      </c>
      <c r="G474" s="163"/>
      <c r="IV474" s="132"/>
    </row>
    <row r="475" spans="1:256" s="162" customFormat="1">
      <c r="A475" s="734"/>
      <c r="B475" s="774"/>
      <c r="C475" s="340"/>
      <c r="D475" s="775"/>
      <c r="E475" s="842"/>
      <c r="F475" s="911"/>
      <c r="G475" s="163"/>
      <c r="IV475" s="132"/>
    </row>
    <row r="476" spans="1:256" s="162" customFormat="1" ht="38.25">
      <c r="A476" s="734" t="s">
        <v>517</v>
      </c>
      <c r="B476" s="580" t="s">
        <v>423</v>
      </c>
      <c r="C476" s="328"/>
      <c r="D476" s="754"/>
      <c r="E476" s="825"/>
      <c r="F476" s="911"/>
      <c r="G476" s="163"/>
      <c r="IV476" s="132"/>
    </row>
    <row r="477" spans="1:256" s="162" customFormat="1">
      <c r="A477" s="734"/>
      <c r="B477" s="580"/>
      <c r="C477" s="328">
        <f>C474*0.1</f>
        <v>2.37</v>
      </c>
      <c r="D477" s="329" t="s">
        <v>98</v>
      </c>
      <c r="E477" s="828"/>
      <c r="F477" s="911">
        <f t="shared" si="15"/>
        <v>0</v>
      </c>
      <c r="G477" s="163"/>
      <c r="IV477" s="132"/>
    </row>
    <row r="478" spans="1:256" s="162" customFormat="1">
      <c r="A478" s="773"/>
      <c r="B478" s="774"/>
      <c r="C478" s="340"/>
      <c r="D478" s="775"/>
      <c r="E478" s="842"/>
      <c r="F478" s="911"/>
      <c r="G478" s="163"/>
      <c r="IV478" s="132"/>
    </row>
    <row r="479" spans="1:256" s="162" customFormat="1" ht="51">
      <c r="A479" s="734" t="s">
        <v>516</v>
      </c>
      <c r="B479" s="146" t="s">
        <v>421</v>
      </c>
      <c r="C479" s="328"/>
      <c r="D479" s="329"/>
      <c r="E479" s="825"/>
      <c r="F479" s="911"/>
      <c r="G479" s="163"/>
      <c r="IV479" s="132"/>
    </row>
    <row r="480" spans="1:256" s="162" customFormat="1" ht="25.5">
      <c r="A480" s="734"/>
      <c r="B480" s="146" t="s">
        <v>420</v>
      </c>
      <c r="C480" s="328">
        <v>0</v>
      </c>
      <c r="D480" s="329" t="s">
        <v>98</v>
      </c>
      <c r="E480" s="828"/>
      <c r="F480" s="911">
        <f t="shared" si="15"/>
        <v>0</v>
      </c>
      <c r="G480" s="163"/>
      <c r="IV480" s="132"/>
    </row>
    <row r="481" spans="1:256" s="162" customFormat="1">
      <c r="A481" s="773"/>
      <c r="B481" s="774"/>
      <c r="C481" s="340"/>
      <c r="D481" s="775"/>
      <c r="E481" s="842"/>
      <c r="F481" s="911"/>
      <c r="G481" s="163"/>
      <c r="IV481" s="132"/>
    </row>
    <row r="482" spans="1:256" s="162" customFormat="1" ht="63.75">
      <c r="A482" s="734" t="s">
        <v>515</v>
      </c>
      <c r="B482" s="146" t="s">
        <v>418</v>
      </c>
      <c r="C482" s="328"/>
      <c r="D482" s="329"/>
      <c r="E482" s="825"/>
      <c r="F482" s="911"/>
      <c r="G482" s="163"/>
      <c r="IV482" s="132"/>
    </row>
    <row r="483" spans="1:256" s="162" customFormat="1">
      <c r="A483" s="734"/>
      <c r="B483" s="146"/>
      <c r="C483" s="328">
        <f>C468-C480</f>
        <v>15</v>
      </c>
      <c r="D483" s="329" t="s">
        <v>98</v>
      </c>
      <c r="E483" s="828"/>
      <c r="F483" s="911">
        <f t="shared" si="15"/>
        <v>0</v>
      </c>
      <c r="G483" s="163"/>
      <c r="IV483" s="132"/>
    </row>
    <row r="484" spans="1:256" s="162" customFormat="1">
      <c r="A484" s="776"/>
      <c r="B484" s="771"/>
      <c r="C484" s="344"/>
      <c r="D484" s="772"/>
      <c r="E484" s="841"/>
      <c r="F484" s="911"/>
      <c r="G484" s="163"/>
      <c r="IV484" s="132"/>
    </row>
    <row r="485" spans="1:256" s="162" customFormat="1" ht="38.25">
      <c r="A485" s="734" t="s">
        <v>514</v>
      </c>
      <c r="B485" s="146" t="s">
        <v>416</v>
      </c>
      <c r="C485" s="328"/>
      <c r="D485" s="329"/>
      <c r="E485" s="825"/>
      <c r="F485" s="911"/>
      <c r="G485" s="163"/>
      <c r="IV485" s="132"/>
    </row>
    <row r="486" spans="1:256" s="162" customFormat="1">
      <c r="A486" s="342"/>
      <c r="B486" s="146"/>
      <c r="C486" s="328">
        <f>C474*0.05</f>
        <v>1.1850000000000001</v>
      </c>
      <c r="D486" s="329" t="s">
        <v>98</v>
      </c>
      <c r="E486" s="828"/>
      <c r="F486" s="911">
        <f t="shared" si="15"/>
        <v>0</v>
      </c>
      <c r="G486" s="163"/>
      <c r="IV486" s="132"/>
    </row>
    <row r="487" spans="1:256" s="162" customFormat="1">
      <c r="A487" s="773"/>
      <c r="B487" s="165"/>
      <c r="C487" s="340"/>
      <c r="D487" s="775"/>
      <c r="E487" s="842"/>
      <c r="F487" s="911"/>
      <c r="G487" s="163"/>
      <c r="IV487" s="132"/>
    </row>
    <row r="488" spans="1:256" s="162" customFormat="1" ht="51">
      <c r="A488" s="734" t="s">
        <v>513</v>
      </c>
      <c r="B488" s="146" t="s">
        <v>414</v>
      </c>
      <c r="C488" s="328"/>
      <c r="D488" s="329"/>
      <c r="E488" s="825"/>
      <c r="F488" s="911"/>
      <c r="G488" s="163"/>
      <c r="IV488" s="132"/>
    </row>
    <row r="489" spans="1:256" s="162" customFormat="1">
      <c r="A489" s="734"/>
      <c r="B489" s="146"/>
      <c r="C489" s="328">
        <f>18.2*0.4</f>
        <v>7.28</v>
      </c>
      <c r="D489" s="329" t="s">
        <v>98</v>
      </c>
      <c r="E489" s="828"/>
      <c r="F489" s="911">
        <f t="shared" si="15"/>
        <v>0</v>
      </c>
      <c r="G489" s="163"/>
      <c r="IV489" s="132"/>
    </row>
    <row r="490" spans="1:256" s="162" customFormat="1">
      <c r="A490" s="770"/>
      <c r="B490" s="165"/>
      <c r="C490" s="340"/>
      <c r="D490" s="775"/>
      <c r="E490" s="842"/>
      <c r="F490" s="911"/>
      <c r="G490" s="163"/>
      <c r="IV490" s="132"/>
    </row>
    <row r="491" spans="1:256" s="162" customFormat="1" ht="51">
      <c r="A491" s="734" t="s">
        <v>512</v>
      </c>
      <c r="B491" s="146" t="s">
        <v>494</v>
      </c>
      <c r="C491" s="328"/>
      <c r="D491" s="329"/>
      <c r="E491" s="825"/>
      <c r="F491" s="911"/>
      <c r="G491" s="163"/>
      <c r="IV491" s="132"/>
    </row>
    <row r="492" spans="1:256" s="162" customFormat="1">
      <c r="A492" s="342"/>
      <c r="B492" s="146"/>
      <c r="C492" s="328">
        <f>39*0.2</f>
        <v>7.8000000000000007</v>
      </c>
      <c r="D492" s="329" t="s">
        <v>98</v>
      </c>
      <c r="E492" s="828"/>
      <c r="F492" s="911">
        <f t="shared" si="15"/>
        <v>0</v>
      </c>
      <c r="G492" s="163"/>
      <c r="IV492" s="132"/>
    </row>
    <row r="493" spans="1:256" s="162" customFormat="1">
      <c r="A493" s="773"/>
      <c r="B493" s="165"/>
      <c r="C493" s="340"/>
      <c r="D493" s="775"/>
      <c r="E493" s="842"/>
      <c r="F493" s="911"/>
      <c r="G493" s="163"/>
      <c r="IV493" s="132"/>
    </row>
    <row r="494" spans="1:256" s="162" customFormat="1" ht="25.5">
      <c r="A494" s="342"/>
      <c r="B494" s="146" t="s">
        <v>411</v>
      </c>
      <c r="C494" s="328"/>
      <c r="D494" s="329"/>
      <c r="E494" s="825"/>
      <c r="F494" s="911"/>
      <c r="G494" s="163"/>
      <c r="IV494" s="132"/>
    </row>
    <row r="495" spans="1:256" s="162" customFormat="1">
      <c r="A495" s="734" t="s">
        <v>511</v>
      </c>
      <c r="B495" s="146" t="s">
        <v>409</v>
      </c>
      <c r="C495" s="328">
        <f>C489*60+C492*30</f>
        <v>670.80000000000007</v>
      </c>
      <c r="D495" s="329" t="s">
        <v>116</v>
      </c>
      <c r="E495" s="828"/>
      <c r="F495" s="911">
        <f t="shared" si="15"/>
        <v>0</v>
      </c>
      <c r="G495" s="163"/>
      <c r="IV495" s="132"/>
    </row>
    <row r="496" spans="1:256" s="162" customFormat="1">
      <c r="A496" s="734" t="s">
        <v>510</v>
      </c>
      <c r="B496" s="146" t="s">
        <v>407</v>
      </c>
      <c r="C496" s="328">
        <f>C489*50+C492*50</f>
        <v>754</v>
      </c>
      <c r="D496" s="329" t="s">
        <v>116</v>
      </c>
      <c r="E496" s="828"/>
      <c r="F496" s="911">
        <f t="shared" si="15"/>
        <v>0</v>
      </c>
      <c r="G496" s="163"/>
      <c r="IV496" s="132"/>
    </row>
    <row r="497" spans="1:256" s="162" customFormat="1">
      <c r="A497" s="773"/>
      <c r="B497" s="165"/>
      <c r="C497" s="340"/>
      <c r="D497" s="775"/>
      <c r="E497" s="842"/>
      <c r="F497" s="911"/>
      <c r="G497" s="163"/>
      <c r="IV497" s="132"/>
    </row>
    <row r="498" spans="1:256" s="162" customFormat="1" ht="51">
      <c r="A498" s="734" t="s">
        <v>509</v>
      </c>
      <c r="B498" s="146" t="s">
        <v>405</v>
      </c>
      <c r="C498" s="328"/>
      <c r="D498" s="329"/>
      <c r="E498" s="825"/>
      <c r="F498" s="911"/>
      <c r="G498" s="163"/>
      <c r="IV498" s="132"/>
    </row>
    <row r="499" spans="1:256" s="162" customFormat="1">
      <c r="A499" s="734"/>
      <c r="B499" s="146"/>
      <c r="C499" s="328">
        <f>47*0.5</f>
        <v>23.5</v>
      </c>
      <c r="D499" s="329" t="s">
        <v>100</v>
      </c>
      <c r="E499" s="828"/>
      <c r="F499" s="911">
        <f t="shared" si="15"/>
        <v>0</v>
      </c>
      <c r="G499" s="163"/>
      <c r="IV499" s="132"/>
    </row>
    <row r="500" spans="1:256" s="162" customFormat="1">
      <c r="A500" s="770"/>
      <c r="B500" s="165"/>
      <c r="C500" s="340"/>
      <c r="D500" s="775"/>
      <c r="E500" s="842"/>
      <c r="F500" s="911"/>
      <c r="G500" s="163"/>
      <c r="IV500" s="132"/>
    </row>
    <row r="501" spans="1:256" s="162" customFormat="1" ht="38.25">
      <c r="A501" s="734" t="s">
        <v>508</v>
      </c>
      <c r="B501" s="146" t="s">
        <v>487</v>
      </c>
      <c r="C501" s="328"/>
      <c r="D501" s="329"/>
      <c r="E501" s="825"/>
      <c r="F501" s="911"/>
      <c r="G501" s="163"/>
      <c r="IV501" s="132"/>
    </row>
    <row r="502" spans="1:256" s="162" customFormat="1">
      <c r="A502" s="342"/>
      <c r="B502" s="146"/>
      <c r="C502" s="328">
        <f>39*2</f>
        <v>78</v>
      </c>
      <c r="D502" s="329" t="s">
        <v>100</v>
      </c>
      <c r="E502" s="828"/>
      <c r="F502" s="911">
        <f t="shared" si="15"/>
        <v>0</v>
      </c>
      <c r="G502" s="163"/>
      <c r="IV502" s="132"/>
    </row>
    <row r="503" spans="1:256" s="162" customFormat="1">
      <c r="A503" s="770"/>
      <c r="B503" s="165"/>
      <c r="C503" s="340"/>
      <c r="D503" s="775"/>
      <c r="E503" s="842"/>
      <c r="F503" s="911"/>
      <c r="G503" s="163"/>
      <c r="IV503" s="132"/>
    </row>
    <row r="504" spans="1:256" s="162" customFormat="1" ht="38.25">
      <c r="A504" s="734" t="s">
        <v>507</v>
      </c>
      <c r="B504" s="146" t="s">
        <v>399</v>
      </c>
      <c r="C504" s="328"/>
      <c r="D504" s="329"/>
      <c r="E504" s="825"/>
      <c r="F504" s="911"/>
      <c r="G504" s="163"/>
      <c r="IV504" s="132"/>
    </row>
    <row r="505" spans="1:256" s="162" customFormat="1">
      <c r="A505" s="734"/>
      <c r="B505" s="146"/>
      <c r="C505" s="328">
        <v>82.8</v>
      </c>
      <c r="D505" s="329" t="s">
        <v>108</v>
      </c>
      <c r="E505" s="828"/>
      <c r="F505" s="911">
        <f t="shared" si="15"/>
        <v>0</v>
      </c>
      <c r="G505" s="163"/>
      <c r="IV505" s="132"/>
    </row>
    <row r="506" spans="1:256" s="162" customFormat="1">
      <c r="A506" s="734"/>
      <c r="B506" s="146"/>
      <c r="C506" s="328"/>
      <c r="D506" s="329"/>
      <c r="E506" s="825"/>
      <c r="F506" s="911"/>
      <c r="G506" s="163"/>
      <c r="IV506" s="132"/>
    </row>
    <row r="507" spans="1:256" s="162" customFormat="1" ht="25.5">
      <c r="A507" s="734" t="s">
        <v>506</v>
      </c>
      <c r="B507" s="146" t="s">
        <v>397</v>
      </c>
      <c r="C507" s="328"/>
      <c r="D507" s="329"/>
      <c r="E507" s="825"/>
      <c r="F507" s="911"/>
      <c r="G507" s="163"/>
      <c r="IV507" s="132"/>
    </row>
    <row r="508" spans="1:256" s="162" customFormat="1">
      <c r="A508" s="734"/>
      <c r="B508" s="146"/>
      <c r="C508" s="328">
        <v>6.8</v>
      </c>
      <c r="D508" s="329" t="s">
        <v>108</v>
      </c>
      <c r="E508" s="828"/>
      <c r="F508" s="911">
        <f t="shared" ref="F508:F571" si="16">ROUND(ROUND(C508,2)*ROUND(E508,2),2)</f>
        <v>0</v>
      </c>
      <c r="G508" s="163"/>
      <c r="IV508" s="132"/>
    </row>
    <row r="509" spans="1:256" s="162" customFormat="1">
      <c r="A509" s="768"/>
      <c r="B509" s="146"/>
      <c r="C509" s="748"/>
      <c r="D509" s="769"/>
      <c r="E509" s="840"/>
      <c r="F509" s="911"/>
      <c r="G509" s="163"/>
      <c r="IV509" s="132"/>
    </row>
    <row r="510" spans="1:256" s="162" customFormat="1">
      <c r="A510" s="768"/>
      <c r="B510" s="164" t="s">
        <v>505</v>
      </c>
      <c r="C510" s="748"/>
      <c r="D510" s="769"/>
      <c r="E510" s="840"/>
      <c r="F510" s="911"/>
      <c r="G510" s="163"/>
      <c r="IV510" s="132"/>
    </row>
    <row r="511" spans="1:256" s="162" customFormat="1" ht="25.5">
      <c r="A511" s="332"/>
      <c r="B511" s="146" t="s">
        <v>434</v>
      </c>
      <c r="C511" s="328"/>
      <c r="D511" s="329"/>
      <c r="E511" s="825"/>
      <c r="F511" s="911"/>
      <c r="G511" s="163"/>
      <c r="IV511" s="132"/>
    </row>
    <row r="512" spans="1:256" s="162" customFormat="1">
      <c r="A512" s="342"/>
      <c r="B512" s="146" t="s">
        <v>433</v>
      </c>
      <c r="C512" s="328">
        <f>8.5*0.4*2</f>
        <v>6.8000000000000007</v>
      </c>
      <c r="D512" s="329"/>
      <c r="E512" s="825"/>
      <c r="F512" s="911">
        <f t="shared" si="16"/>
        <v>0</v>
      </c>
      <c r="G512" s="163"/>
      <c r="IV512" s="132"/>
    </row>
    <row r="513" spans="1:256" s="162" customFormat="1">
      <c r="A513" s="734" t="s">
        <v>504</v>
      </c>
      <c r="B513" s="146" t="s">
        <v>431</v>
      </c>
      <c r="C513" s="328">
        <f>C512*0.7</f>
        <v>4.76</v>
      </c>
      <c r="D513" s="329" t="s">
        <v>98</v>
      </c>
      <c r="E513" s="828"/>
      <c r="F513" s="911">
        <f t="shared" si="16"/>
        <v>0</v>
      </c>
      <c r="G513" s="163"/>
      <c r="IV513" s="132"/>
    </row>
    <row r="514" spans="1:256" s="162" customFormat="1">
      <c r="A514" s="734" t="s">
        <v>503</v>
      </c>
      <c r="B514" s="146" t="s">
        <v>429</v>
      </c>
      <c r="C514" s="328">
        <f>C512*0.2</f>
        <v>1.3600000000000003</v>
      </c>
      <c r="D514" s="133" t="s">
        <v>98</v>
      </c>
      <c r="E514" s="828"/>
      <c r="F514" s="911">
        <f t="shared" si="16"/>
        <v>0</v>
      </c>
      <c r="G514" s="163"/>
      <c r="IV514" s="132"/>
    </row>
    <row r="515" spans="1:256" s="162" customFormat="1">
      <c r="A515" s="734" t="s">
        <v>502</v>
      </c>
      <c r="B515" s="146" t="s">
        <v>427</v>
      </c>
      <c r="C515" s="328">
        <f>C512*0.1</f>
        <v>0.68000000000000016</v>
      </c>
      <c r="D515" s="329" t="s">
        <v>98</v>
      </c>
      <c r="E515" s="828"/>
      <c r="F515" s="911">
        <f t="shared" si="16"/>
        <v>0</v>
      </c>
      <c r="G515" s="163"/>
      <c r="IV515" s="132"/>
    </row>
    <row r="516" spans="1:256" s="162" customFormat="1">
      <c r="A516" s="770"/>
      <c r="B516" s="771"/>
      <c r="C516" s="344"/>
      <c r="D516" s="772"/>
      <c r="E516" s="841"/>
      <c r="F516" s="911"/>
      <c r="G516" s="163"/>
      <c r="IV516" s="132"/>
    </row>
    <row r="517" spans="1:256" s="162" customFormat="1" ht="25.5">
      <c r="A517" s="734" t="s">
        <v>501</v>
      </c>
      <c r="B517" s="580" t="s">
        <v>425</v>
      </c>
      <c r="C517" s="328"/>
      <c r="D517" s="754"/>
      <c r="E517" s="825"/>
      <c r="F517" s="911"/>
      <c r="G517" s="163"/>
      <c r="IV517" s="132"/>
    </row>
    <row r="518" spans="1:256" s="162" customFormat="1">
      <c r="A518" s="734"/>
      <c r="B518" s="580"/>
      <c r="C518" s="328">
        <f>8.5*1.3</f>
        <v>11.05</v>
      </c>
      <c r="D518" s="329" t="s">
        <v>100</v>
      </c>
      <c r="E518" s="828"/>
      <c r="F518" s="911">
        <f t="shared" si="16"/>
        <v>0</v>
      </c>
      <c r="G518" s="163"/>
      <c r="IV518" s="132"/>
    </row>
    <row r="519" spans="1:256" s="162" customFormat="1">
      <c r="A519" s="734"/>
      <c r="B519" s="774"/>
      <c r="C519" s="340"/>
      <c r="D519" s="775"/>
      <c r="E519" s="842"/>
      <c r="F519" s="911"/>
      <c r="G519" s="163"/>
      <c r="IV519" s="132"/>
    </row>
    <row r="520" spans="1:256" s="162" customFormat="1" ht="38.25">
      <c r="A520" s="734" t="s">
        <v>500</v>
      </c>
      <c r="B520" s="580" t="s">
        <v>423</v>
      </c>
      <c r="C520" s="328"/>
      <c r="D520" s="754"/>
      <c r="E520" s="825"/>
      <c r="F520" s="911"/>
      <c r="G520" s="163"/>
      <c r="IV520" s="132"/>
    </row>
    <row r="521" spans="1:256" s="162" customFormat="1">
      <c r="A521" s="734"/>
      <c r="B521" s="580"/>
      <c r="C521" s="328">
        <f>C518*0.1</f>
        <v>1.1050000000000002</v>
      </c>
      <c r="D521" s="329" t="s">
        <v>98</v>
      </c>
      <c r="E521" s="828"/>
      <c r="F521" s="911">
        <f t="shared" si="16"/>
        <v>0</v>
      </c>
      <c r="G521" s="163"/>
      <c r="IV521" s="132"/>
    </row>
    <row r="522" spans="1:256" s="162" customFormat="1">
      <c r="A522" s="773"/>
      <c r="B522" s="774"/>
      <c r="C522" s="340"/>
      <c r="D522" s="775"/>
      <c r="E522" s="842"/>
      <c r="F522" s="911"/>
      <c r="G522" s="163"/>
      <c r="IV522" s="132"/>
    </row>
    <row r="523" spans="1:256" s="162" customFormat="1" ht="51">
      <c r="A523" s="734" t="s">
        <v>499</v>
      </c>
      <c r="B523" s="146" t="s">
        <v>421</v>
      </c>
      <c r="C523" s="328"/>
      <c r="D523" s="329"/>
      <c r="E523" s="825"/>
      <c r="F523" s="911"/>
      <c r="G523" s="163"/>
      <c r="IV523" s="132"/>
    </row>
    <row r="524" spans="1:256" s="162" customFormat="1" ht="25.5">
      <c r="A524" s="734"/>
      <c r="B524" s="146" t="s">
        <v>420</v>
      </c>
      <c r="C524" s="328">
        <v>0</v>
      </c>
      <c r="D524" s="329" t="s">
        <v>98</v>
      </c>
      <c r="E524" s="828"/>
      <c r="F524" s="911">
        <f t="shared" si="16"/>
        <v>0</v>
      </c>
      <c r="G524" s="163"/>
      <c r="IV524" s="132"/>
    </row>
    <row r="525" spans="1:256" s="162" customFormat="1">
      <c r="A525" s="773"/>
      <c r="B525" s="774"/>
      <c r="C525" s="340"/>
      <c r="D525" s="775"/>
      <c r="E525" s="842"/>
      <c r="F525" s="911"/>
      <c r="G525" s="163"/>
      <c r="IV525" s="132"/>
    </row>
    <row r="526" spans="1:256" s="162" customFormat="1" ht="63.75">
      <c r="A526" s="734" t="s">
        <v>498</v>
      </c>
      <c r="B526" s="146" t="s">
        <v>418</v>
      </c>
      <c r="C526" s="328"/>
      <c r="D526" s="329"/>
      <c r="E526" s="825"/>
      <c r="F526" s="911"/>
      <c r="G526" s="163"/>
      <c r="IV526" s="132"/>
    </row>
    <row r="527" spans="1:256" s="162" customFormat="1">
      <c r="A527" s="734"/>
      <c r="B527" s="146"/>
      <c r="C527" s="328">
        <f>C512-C524</f>
        <v>6.8000000000000007</v>
      </c>
      <c r="D527" s="329" t="s">
        <v>98</v>
      </c>
      <c r="E527" s="828"/>
      <c r="F527" s="911">
        <f t="shared" si="16"/>
        <v>0</v>
      </c>
      <c r="G527" s="163"/>
      <c r="IV527" s="132"/>
    </row>
    <row r="528" spans="1:256" s="162" customFormat="1">
      <c r="A528" s="776"/>
      <c r="B528" s="771"/>
      <c r="C528" s="344"/>
      <c r="D528" s="772"/>
      <c r="E528" s="841"/>
      <c r="F528" s="911"/>
      <c r="G528" s="163"/>
      <c r="IV528" s="132"/>
    </row>
    <row r="529" spans="1:256" s="162" customFormat="1" ht="38.25">
      <c r="A529" s="734" t="s">
        <v>497</v>
      </c>
      <c r="B529" s="146" t="s">
        <v>416</v>
      </c>
      <c r="C529" s="328"/>
      <c r="D529" s="329"/>
      <c r="E529" s="825"/>
      <c r="F529" s="911"/>
      <c r="G529" s="163"/>
      <c r="IV529" s="132"/>
    </row>
    <row r="530" spans="1:256" s="162" customFormat="1">
      <c r="A530" s="342"/>
      <c r="B530" s="146"/>
      <c r="C530" s="328">
        <f>C518*0.05</f>
        <v>0.5525000000000001</v>
      </c>
      <c r="D530" s="329" t="s">
        <v>98</v>
      </c>
      <c r="E530" s="828"/>
      <c r="F530" s="911">
        <f t="shared" si="16"/>
        <v>0</v>
      </c>
      <c r="G530" s="163"/>
      <c r="IV530" s="132"/>
    </row>
    <row r="531" spans="1:256" s="162" customFormat="1">
      <c r="A531" s="773"/>
      <c r="B531" s="165"/>
      <c r="C531" s="340"/>
      <c r="D531" s="775"/>
      <c r="E531" s="842"/>
      <c r="F531" s="911"/>
      <c r="G531" s="163"/>
      <c r="IV531" s="132"/>
    </row>
    <row r="532" spans="1:256" s="162" customFormat="1" ht="51">
      <c r="A532" s="734" t="s">
        <v>496</v>
      </c>
      <c r="B532" s="146" t="s">
        <v>414</v>
      </c>
      <c r="C532" s="328"/>
      <c r="D532" s="329"/>
      <c r="E532" s="825"/>
      <c r="F532" s="911"/>
      <c r="G532" s="163"/>
      <c r="IV532" s="132"/>
    </row>
    <row r="533" spans="1:256" s="162" customFormat="1">
      <c r="A533" s="734"/>
      <c r="B533" s="146"/>
      <c r="C533" s="328">
        <f>8.5*0.4</f>
        <v>3.4000000000000004</v>
      </c>
      <c r="D533" s="329" t="s">
        <v>98</v>
      </c>
      <c r="E533" s="828"/>
      <c r="F533" s="911">
        <f t="shared" si="16"/>
        <v>0</v>
      </c>
      <c r="G533" s="163"/>
      <c r="IV533" s="132"/>
    </row>
    <row r="534" spans="1:256" s="162" customFormat="1">
      <c r="A534" s="770"/>
      <c r="B534" s="165"/>
      <c r="C534" s="340"/>
      <c r="D534" s="775"/>
      <c r="E534" s="842"/>
      <c r="F534" s="911"/>
      <c r="G534" s="163"/>
      <c r="IV534" s="132"/>
    </row>
    <row r="535" spans="1:256" s="162" customFormat="1" ht="51">
      <c r="A535" s="734" t="s">
        <v>495</v>
      </c>
      <c r="B535" s="146" t="s">
        <v>494</v>
      </c>
      <c r="C535" s="328"/>
      <c r="D535" s="329"/>
      <c r="E535" s="825"/>
      <c r="F535" s="911"/>
      <c r="G535" s="163"/>
      <c r="IV535" s="132"/>
    </row>
    <row r="536" spans="1:256" s="162" customFormat="1">
      <c r="A536" s="342"/>
      <c r="B536" s="146"/>
      <c r="C536" s="328">
        <f>22.9*0.25</f>
        <v>5.7249999999999996</v>
      </c>
      <c r="D536" s="329" t="s">
        <v>98</v>
      </c>
      <c r="E536" s="828"/>
      <c r="F536" s="911">
        <f t="shared" si="16"/>
        <v>0</v>
      </c>
      <c r="G536" s="163"/>
      <c r="IV536" s="132"/>
    </row>
    <row r="537" spans="1:256" s="162" customFormat="1">
      <c r="A537" s="773"/>
      <c r="B537" s="165"/>
      <c r="C537" s="340"/>
      <c r="D537" s="775"/>
      <c r="E537" s="842"/>
      <c r="F537" s="911"/>
      <c r="G537" s="163"/>
      <c r="IV537" s="132"/>
    </row>
    <row r="538" spans="1:256" s="162" customFormat="1" ht="25.5">
      <c r="A538" s="342"/>
      <c r="B538" s="146" t="s">
        <v>411</v>
      </c>
      <c r="C538" s="328"/>
      <c r="D538" s="329"/>
      <c r="E538" s="825"/>
      <c r="F538" s="911"/>
      <c r="G538" s="163"/>
      <c r="IV538" s="132"/>
    </row>
    <row r="539" spans="1:256" s="162" customFormat="1">
      <c r="A539" s="734" t="s">
        <v>493</v>
      </c>
      <c r="B539" s="146" t="s">
        <v>409</v>
      </c>
      <c r="C539" s="328">
        <f>C533*60+C536*30</f>
        <v>375.75</v>
      </c>
      <c r="D539" s="329" t="s">
        <v>116</v>
      </c>
      <c r="E539" s="828"/>
      <c r="F539" s="911">
        <f t="shared" si="16"/>
        <v>0</v>
      </c>
      <c r="G539" s="163"/>
      <c r="IV539" s="132"/>
    </row>
    <row r="540" spans="1:256" s="162" customFormat="1">
      <c r="A540" s="734" t="s">
        <v>492</v>
      </c>
      <c r="B540" s="146" t="s">
        <v>407</v>
      </c>
      <c r="C540" s="328">
        <f>C533*50+C536*50</f>
        <v>456.25</v>
      </c>
      <c r="D540" s="329" t="s">
        <v>116</v>
      </c>
      <c r="E540" s="828"/>
      <c r="F540" s="911">
        <f t="shared" si="16"/>
        <v>0</v>
      </c>
      <c r="G540" s="163"/>
      <c r="IV540" s="132"/>
    </row>
    <row r="541" spans="1:256" s="162" customFormat="1">
      <c r="A541" s="773"/>
      <c r="B541" s="165"/>
      <c r="C541" s="340"/>
      <c r="D541" s="775"/>
      <c r="E541" s="842"/>
      <c r="F541" s="911"/>
      <c r="G541" s="163"/>
      <c r="IV541" s="132"/>
    </row>
    <row r="542" spans="1:256" s="162" customFormat="1" ht="51">
      <c r="A542" s="734" t="s">
        <v>491</v>
      </c>
      <c r="B542" s="146" t="s">
        <v>405</v>
      </c>
      <c r="C542" s="328"/>
      <c r="D542" s="329"/>
      <c r="E542" s="825"/>
      <c r="F542" s="911"/>
      <c r="G542" s="163"/>
      <c r="IV542" s="132"/>
    </row>
    <row r="543" spans="1:256" s="162" customFormat="1">
      <c r="A543" s="734"/>
      <c r="B543" s="146"/>
      <c r="C543" s="328">
        <f>22.9*0.5</f>
        <v>11.45</v>
      </c>
      <c r="D543" s="329" t="s">
        <v>100</v>
      </c>
      <c r="E543" s="828"/>
      <c r="F543" s="911">
        <f t="shared" si="16"/>
        <v>0</v>
      </c>
      <c r="G543" s="163"/>
      <c r="IV543" s="132"/>
    </row>
    <row r="544" spans="1:256" s="162" customFormat="1">
      <c r="A544" s="770"/>
      <c r="B544" s="165"/>
      <c r="C544" s="340"/>
      <c r="D544" s="775"/>
      <c r="E544" s="842"/>
      <c r="F544" s="911"/>
      <c r="G544" s="163"/>
      <c r="IV544" s="132"/>
    </row>
    <row r="545" spans="1:256" s="162" customFormat="1" ht="38.25">
      <c r="A545" s="734" t="s">
        <v>490</v>
      </c>
      <c r="B545" s="146" t="s">
        <v>489</v>
      </c>
      <c r="C545" s="328"/>
      <c r="D545" s="329"/>
      <c r="E545" s="825"/>
      <c r="F545" s="911"/>
      <c r="G545" s="163"/>
      <c r="IV545" s="132"/>
    </row>
    <row r="546" spans="1:256" s="162" customFormat="1">
      <c r="A546" s="342"/>
      <c r="B546" s="146"/>
      <c r="C546" s="328">
        <v>23.9</v>
      </c>
      <c r="D546" s="329" t="s">
        <v>100</v>
      </c>
      <c r="E546" s="828"/>
      <c r="F546" s="911">
        <f t="shared" si="16"/>
        <v>0</v>
      </c>
      <c r="G546" s="163"/>
      <c r="IV546" s="132"/>
    </row>
    <row r="547" spans="1:256" s="162" customFormat="1">
      <c r="A547" s="770"/>
      <c r="B547" s="165"/>
      <c r="C547" s="340"/>
      <c r="D547" s="775"/>
      <c r="E547" s="842"/>
      <c r="F547" s="911"/>
      <c r="G547" s="163"/>
      <c r="IV547" s="132"/>
    </row>
    <row r="548" spans="1:256" s="162" customFormat="1" ht="38.25">
      <c r="A548" s="734" t="s">
        <v>488</v>
      </c>
      <c r="B548" s="146" t="s">
        <v>487</v>
      </c>
      <c r="C548" s="328"/>
      <c r="D548" s="329"/>
      <c r="E548" s="825"/>
      <c r="F548" s="911"/>
      <c r="G548" s="163"/>
      <c r="IV548" s="132"/>
    </row>
    <row r="549" spans="1:256" s="162" customFormat="1">
      <c r="A549" s="342"/>
      <c r="B549" s="146"/>
      <c r="C549" s="328">
        <v>23.9</v>
      </c>
      <c r="D549" s="329" t="s">
        <v>100</v>
      </c>
      <c r="E549" s="828"/>
      <c r="F549" s="911">
        <f t="shared" si="16"/>
        <v>0</v>
      </c>
      <c r="G549" s="163"/>
      <c r="IV549" s="132"/>
    </row>
    <row r="550" spans="1:256" s="162" customFormat="1">
      <c r="A550" s="773"/>
      <c r="B550" s="165"/>
      <c r="C550" s="340"/>
      <c r="D550" s="775"/>
      <c r="E550" s="842"/>
      <c r="F550" s="911"/>
      <c r="G550" s="163"/>
      <c r="IV550" s="132"/>
    </row>
    <row r="551" spans="1:256" s="162" customFormat="1" ht="38.25">
      <c r="A551" s="734" t="s">
        <v>486</v>
      </c>
      <c r="B551" s="146" t="s">
        <v>399</v>
      </c>
      <c r="C551" s="328"/>
      <c r="D551" s="329"/>
      <c r="E551" s="825"/>
      <c r="F551" s="911"/>
      <c r="G551" s="163"/>
      <c r="IV551" s="132"/>
    </row>
    <row r="552" spans="1:256" s="162" customFormat="1">
      <c r="A552" s="734"/>
      <c r="B552" s="146"/>
      <c r="C552" s="328">
        <f>10.6*1.5</f>
        <v>15.899999999999999</v>
      </c>
      <c r="D552" s="329" t="s">
        <v>108</v>
      </c>
      <c r="E552" s="828"/>
      <c r="F552" s="911">
        <f t="shared" si="16"/>
        <v>0</v>
      </c>
      <c r="G552" s="163"/>
      <c r="IV552" s="132"/>
    </row>
    <row r="553" spans="1:256" s="162" customFormat="1">
      <c r="A553" s="734"/>
      <c r="B553" s="146"/>
      <c r="C553" s="328"/>
      <c r="D553" s="329"/>
      <c r="E553" s="825"/>
      <c r="F553" s="911"/>
      <c r="G553" s="163"/>
      <c r="IV553" s="132"/>
    </row>
    <row r="554" spans="1:256" s="162" customFormat="1" ht="25.5">
      <c r="A554" s="734" t="s">
        <v>485</v>
      </c>
      <c r="B554" s="146" t="s">
        <v>397</v>
      </c>
      <c r="C554" s="328"/>
      <c r="D554" s="329"/>
      <c r="E554" s="825"/>
      <c r="F554" s="911"/>
      <c r="G554" s="163"/>
      <c r="IV554" s="132"/>
    </row>
    <row r="555" spans="1:256" s="162" customFormat="1">
      <c r="A555" s="734"/>
      <c r="B555" s="146"/>
      <c r="C555" s="328">
        <f>11*0.3</f>
        <v>3.3</v>
      </c>
      <c r="D555" s="329" t="s">
        <v>108</v>
      </c>
      <c r="E555" s="828"/>
      <c r="F555" s="911">
        <f t="shared" si="16"/>
        <v>0</v>
      </c>
      <c r="G555" s="163"/>
      <c r="IV555" s="132"/>
    </row>
    <row r="556" spans="1:256" s="162" customFormat="1">
      <c r="A556" s="768"/>
      <c r="B556" s="146"/>
      <c r="C556" s="748"/>
      <c r="D556" s="769"/>
      <c r="E556" s="840"/>
      <c r="F556" s="911"/>
      <c r="G556" s="163"/>
      <c r="IV556" s="132"/>
    </row>
    <row r="557" spans="1:256" s="162" customFormat="1">
      <c r="A557" s="768"/>
      <c r="B557" s="164" t="s">
        <v>484</v>
      </c>
      <c r="C557" s="748"/>
      <c r="D557" s="769"/>
      <c r="E557" s="840"/>
      <c r="F557" s="911"/>
      <c r="G557" s="163"/>
      <c r="IV557" s="132"/>
    </row>
    <row r="558" spans="1:256" s="162" customFormat="1" ht="25.5">
      <c r="A558" s="332"/>
      <c r="B558" s="146" t="s">
        <v>434</v>
      </c>
      <c r="C558" s="328"/>
      <c r="D558" s="329"/>
      <c r="E558" s="825"/>
      <c r="F558" s="911"/>
      <c r="G558" s="163"/>
      <c r="IV558" s="132"/>
    </row>
    <row r="559" spans="1:256" s="162" customFormat="1">
      <c r="A559" s="342"/>
      <c r="B559" s="146" t="s">
        <v>433</v>
      </c>
      <c r="C559" s="328">
        <f>16.2*0.4*2</f>
        <v>12.96</v>
      </c>
      <c r="D559" s="329"/>
      <c r="E559" s="825"/>
      <c r="F559" s="911">
        <f t="shared" si="16"/>
        <v>0</v>
      </c>
      <c r="G559" s="163"/>
      <c r="IV559" s="132"/>
    </row>
    <row r="560" spans="1:256" s="162" customFormat="1">
      <c r="A560" s="734" t="s">
        <v>483</v>
      </c>
      <c r="B560" s="146" t="s">
        <v>431</v>
      </c>
      <c r="C560" s="328">
        <f>C559*0.7</f>
        <v>9.0719999999999992</v>
      </c>
      <c r="D560" s="329" t="s">
        <v>98</v>
      </c>
      <c r="E560" s="828"/>
      <c r="F560" s="911">
        <f t="shared" si="16"/>
        <v>0</v>
      </c>
      <c r="G560" s="163"/>
      <c r="IV560" s="132"/>
    </row>
    <row r="561" spans="1:256" s="162" customFormat="1">
      <c r="A561" s="734" t="s">
        <v>482</v>
      </c>
      <c r="B561" s="146" t="s">
        <v>429</v>
      </c>
      <c r="C561" s="328">
        <f>C559*0.2</f>
        <v>2.5920000000000005</v>
      </c>
      <c r="D561" s="133" t="s">
        <v>98</v>
      </c>
      <c r="E561" s="828"/>
      <c r="F561" s="911">
        <f t="shared" si="16"/>
        <v>0</v>
      </c>
      <c r="G561" s="163"/>
      <c r="IV561" s="132"/>
    </row>
    <row r="562" spans="1:256" s="162" customFormat="1">
      <c r="A562" s="734" t="s">
        <v>481</v>
      </c>
      <c r="B562" s="146" t="s">
        <v>427</v>
      </c>
      <c r="C562" s="328">
        <f>C559*0.1</f>
        <v>1.2960000000000003</v>
      </c>
      <c r="D562" s="329" t="s">
        <v>98</v>
      </c>
      <c r="E562" s="828"/>
      <c r="F562" s="911">
        <f t="shared" si="16"/>
        <v>0</v>
      </c>
      <c r="G562" s="163"/>
      <c r="IV562" s="132"/>
    </row>
    <row r="563" spans="1:256" s="162" customFormat="1">
      <c r="A563" s="770"/>
      <c r="B563" s="771"/>
      <c r="C563" s="344"/>
      <c r="D563" s="772"/>
      <c r="E563" s="841"/>
      <c r="F563" s="911"/>
      <c r="G563" s="163"/>
      <c r="IV563" s="132"/>
    </row>
    <row r="564" spans="1:256" s="162" customFormat="1" ht="25.5">
      <c r="A564" s="734" t="s">
        <v>480</v>
      </c>
      <c r="B564" s="580" t="s">
        <v>425</v>
      </c>
      <c r="C564" s="340"/>
      <c r="D564" s="754"/>
      <c r="E564" s="825"/>
      <c r="F564" s="911"/>
      <c r="G564" s="163"/>
      <c r="IV564" s="132"/>
    </row>
    <row r="565" spans="1:256" s="162" customFormat="1">
      <c r="A565" s="734"/>
      <c r="B565" s="580"/>
      <c r="C565" s="328">
        <f>16.2*1.3</f>
        <v>21.06</v>
      </c>
      <c r="D565" s="329" t="s">
        <v>100</v>
      </c>
      <c r="E565" s="828"/>
      <c r="F565" s="911">
        <f t="shared" si="16"/>
        <v>0</v>
      </c>
      <c r="G565" s="163"/>
      <c r="IV565" s="132"/>
    </row>
    <row r="566" spans="1:256" s="162" customFormat="1">
      <c r="A566" s="773"/>
      <c r="B566" s="774"/>
      <c r="C566" s="340"/>
      <c r="D566" s="775"/>
      <c r="E566" s="842"/>
      <c r="F566" s="911"/>
      <c r="G566" s="163"/>
      <c r="IV566" s="132"/>
    </row>
    <row r="567" spans="1:256" s="162" customFormat="1" ht="38.25">
      <c r="A567" s="734" t="s">
        <v>479</v>
      </c>
      <c r="B567" s="580" t="s">
        <v>423</v>
      </c>
      <c r="C567" s="340"/>
      <c r="D567" s="754"/>
      <c r="E567" s="825"/>
      <c r="F567" s="911"/>
      <c r="G567" s="163"/>
      <c r="IV567" s="132"/>
    </row>
    <row r="568" spans="1:256" s="162" customFormat="1">
      <c r="A568" s="734"/>
      <c r="B568" s="580"/>
      <c r="C568" s="328">
        <f>C565*0.1</f>
        <v>2.1059999999999999</v>
      </c>
      <c r="D568" s="329" t="s">
        <v>98</v>
      </c>
      <c r="E568" s="828"/>
      <c r="F568" s="911">
        <f t="shared" si="16"/>
        <v>0</v>
      </c>
      <c r="G568" s="163"/>
      <c r="IV568" s="132"/>
    </row>
    <row r="569" spans="1:256" s="162" customFormat="1">
      <c r="A569" s="773"/>
      <c r="B569" s="774"/>
      <c r="C569" s="340"/>
      <c r="D569" s="775"/>
      <c r="E569" s="842"/>
      <c r="F569" s="911"/>
      <c r="G569" s="163"/>
      <c r="IV569" s="132"/>
    </row>
    <row r="570" spans="1:256" s="162" customFormat="1" ht="51">
      <c r="A570" s="734" t="s">
        <v>478</v>
      </c>
      <c r="B570" s="146" t="s">
        <v>421</v>
      </c>
      <c r="C570" s="340"/>
      <c r="D570" s="329"/>
      <c r="E570" s="825"/>
      <c r="F570" s="911"/>
      <c r="G570" s="163"/>
      <c r="IV570" s="132"/>
    </row>
    <row r="571" spans="1:256" s="162" customFormat="1" ht="25.5">
      <c r="A571" s="734"/>
      <c r="B571" s="146" t="s">
        <v>420</v>
      </c>
      <c r="C571" s="328">
        <v>0</v>
      </c>
      <c r="D571" s="329" t="s">
        <v>98</v>
      </c>
      <c r="E571" s="828"/>
      <c r="F571" s="911">
        <f t="shared" si="16"/>
        <v>0</v>
      </c>
      <c r="G571" s="163"/>
      <c r="IV571" s="132"/>
    </row>
    <row r="572" spans="1:256" s="162" customFormat="1">
      <c r="A572" s="773"/>
      <c r="B572" s="774"/>
      <c r="C572" s="340"/>
      <c r="D572" s="775"/>
      <c r="E572" s="842"/>
      <c r="F572" s="911"/>
      <c r="G572" s="163"/>
      <c r="IV572" s="132"/>
    </row>
    <row r="573" spans="1:256" s="162" customFormat="1" ht="63.75">
      <c r="A573" s="734" t="s">
        <v>477</v>
      </c>
      <c r="B573" s="146" t="s">
        <v>418</v>
      </c>
      <c r="C573" s="340"/>
      <c r="D573" s="329"/>
      <c r="E573" s="825"/>
      <c r="F573" s="911"/>
      <c r="G573" s="163"/>
      <c r="IV573" s="132"/>
    </row>
    <row r="574" spans="1:256" s="162" customFormat="1">
      <c r="A574" s="734"/>
      <c r="B574" s="146"/>
      <c r="C574" s="328">
        <f>C559-C571</f>
        <v>12.96</v>
      </c>
      <c r="D574" s="329" t="s">
        <v>98</v>
      </c>
      <c r="E574" s="828"/>
      <c r="F574" s="911">
        <f t="shared" ref="F574:F633" si="17">ROUND(ROUND(C574,2)*ROUND(E574,2),2)</f>
        <v>0</v>
      </c>
      <c r="G574" s="163"/>
      <c r="IV574" s="132"/>
    </row>
    <row r="575" spans="1:256" s="162" customFormat="1">
      <c r="A575" s="776"/>
      <c r="B575" s="771"/>
      <c r="C575" s="344"/>
      <c r="D575" s="772"/>
      <c r="E575" s="841"/>
      <c r="F575" s="911"/>
      <c r="G575" s="163"/>
      <c r="IV575" s="132"/>
    </row>
    <row r="576" spans="1:256" s="162" customFormat="1" ht="38.25">
      <c r="A576" s="734" t="s">
        <v>476</v>
      </c>
      <c r="B576" s="146" t="s">
        <v>416</v>
      </c>
      <c r="C576" s="340"/>
      <c r="D576" s="329"/>
      <c r="E576" s="825"/>
      <c r="F576" s="911"/>
      <c r="G576" s="163"/>
      <c r="IV576" s="132"/>
    </row>
    <row r="577" spans="1:256" s="162" customFormat="1">
      <c r="A577" s="342"/>
      <c r="B577" s="146"/>
      <c r="C577" s="328">
        <f>C565*0.05</f>
        <v>1.0529999999999999</v>
      </c>
      <c r="D577" s="329" t="s">
        <v>98</v>
      </c>
      <c r="E577" s="828"/>
      <c r="F577" s="911">
        <f t="shared" si="17"/>
        <v>0</v>
      </c>
      <c r="G577" s="163"/>
      <c r="IV577" s="132"/>
    </row>
    <row r="578" spans="1:256" s="162" customFormat="1">
      <c r="A578" s="773"/>
      <c r="B578" s="165"/>
      <c r="C578" s="340"/>
      <c r="D578" s="775"/>
      <c r="E578" s="842"/>
      <c r="F578" s="911"/>
      <c r="G578" s="163"/>
      <c r="IV578" s="132"/>
    </row>
    <row r="579" spans="1:256" s="162" customFormat="1" ht="51">
      <c r="A579" s="734" t="s">
        <v>475</v>
      </c>
      <c r="B579" s="146" t="s">
        <v>474</v>
      </c>
      <c r="C579" s="340"/>
      <c r="D579" s="329"/>
      <c r="E579" s="825"/>
      <c r="F579" s="911"/>
      <c r="G579" s="163"/>
      <c r="IV579" s="132"/>
    </row>
    <row r="580" spans="1:256" s="162" customFormat="1">
      <c r="A580" s="734"/>
      <c r="B580" s="146"/>
      <c r="C580" s="328">
        <f>16.2*0.4</f>
        <v>6.48</v>
      </c>
      <c r="D580" s="329" t="s">
        <v>98</v>
      </c>
      <c r="E580" s="828"/>
      <c r="F580" s="911">
        <f t="shared" si="17"/>
        <v>0</v>
      </c>
      <c r="G580" s="163"/>
      <c r="IV580" s="132"/>
    </row>
    <row r="581" spans="1:256" s="162" customFormat="1">
      <c r="A581" s="734"/>
      <c r="B581" s="146"/>
      <c r="C581" s="328"/>
      <c r="D581" s="329"/>
      <c r="E581" s="825"/>
      <c r="F581" s="911"/>
      <c r="G581" s="163"/>
      <c r="IV581" s="132"/>
    </row>
    <row r="582" spans="1:256" s="162" customFormat="1" ht="102">
      <c r="A582" s="734" t="s">
        <v>473</v>
      </c>
      <c r="B582" s="146" t="s">
        <v>472</v>
      </c>
      <c r="C582" s="340"/>
      <c r="D582" s="329"/>
      <c r="E582" s="825"/>
      <c r="F582" s="911"/>
      <c r="G582" s="163"/>
      <c r="IV582" s="132"/>
    </row>
    <row r="583" spans="1:256" s="162" customFormat="1">
      <c r="A583" s="734"/>
      <c r="B583" s="146"/>
      <c r="C583" s="328">
        <v>1.1000000000000001</v>
      </c>
      <c r="D583" s="329" t="s">
        <v>98</v>
      </c>
      <c r="E583" s="828"/>
      <c r="F583" s="911">
        <f t="shared" si="17"/>
        <v>0</v>
      </c>
      <c r="G583" s="163"/>
      <c r="IV583" s="132"/>
    </row>
    <row r="584" spans="1:256" s="162" customFormat="1">
      <c r="A584" s="770"/>
      <c r="B584" s="165"/>
      <c r="C584" s="340"/>
      <c r="D584" s="775"/>
      <c r="E584" s="842"/>
      <c r="F584" s="911"/>
      <c r="G584" s="163"/>
      <c r="IV584" s="132"/>
    </row>
    <row r="585" spans="1:256" s="162" customFormat="1" ht="114.75">
      <c r="A585" s="734" t="s">
        <v>471</v>
      </c>
      <c r="B585" s="146" t="s">
        <v>470</v>
      </c>
      <c r="C585" s="340"/>
      <c r="D585" s="329"/>
      <c r="E585" s="825"/>
      <c r="F585" s="911"/>
      <c r="G585" s="163"/>
      <c r="IV585" s="132"/>
    </row>
    <row r="586" spans="1:256" s="162" customFormat="1">
      <c r="A586" s="342"/>
      <c r="B586" s="146"/>
      <c r="C586" s="328">
        <f>(8.2+4.7+8.6)*0.3+(0.4+5)*0.25+0.9*1.5</f>
        <v>9.15</v>
      </c>
      <c r="D586" s="329" t="s">
        <v>98</v>
      </c>
      <c r="E586" s="828"/>
      <c r="F586" s="911">
        <f t="shared" si="17"/>
        <v>0</v>
      </c>
      <c r="G586" s="163"/>
      <c r="IV586" s="132"/>
    </row>
    <row r="587" spans="1:256" s="162" customFormat="1">
      <c r="A587" s="773"/>
      <c r="B587" s="165"/>
      <c r="C587" s="340"/>
      <c r="D587" s="775"/>
      <c r="E587" s="842"/>
      <c r="F587" s="911"/>
      <c r="G587" s="163"/>
      <c r="IV587" s="132"/>
    </row>
    <row r="588" spans="1:256" s="162" customFormat="1" ht="25.5">
      <c r="A588" s="342"/>
      <c r="B588" s="146" t="s">
        <v>411</v>
      </c>
      <c r="C588" s="340"/>
      <c r="D588" s="329"/>
      <c r="E588" s="825"/>
      <c r="F588" s="911"/>
      <c r="G588" s="163"/>
      <c r="IV588" s="132"/>
    </row>
    <row r="589" spans="1:256" s="162" customFormat="1">
      <c r="A589" s="734" t="s">
        <v>469</v>
      </c>
      <c r="B589" s="146" t="s">
        <v>409</v>
      </c>
      <c r="C589" s="328">
        <f>(C580+C583)*60+C586*30</f>
        <v>729.3</v>
      </c>
      <c r="D589" s="329" t="s">
        <v>116</v>
      </c>
      <c r="E589" s="828"/>
      <c r="F589" s="911">
        <f t="shared" si="17"/>
        <v>0</v>
      </c>
      <c r="G589" s="163"/>
      <c r="IV589" s="132"/>
    </row>
    <row r="590" spans="1:256" s="162" customFormat="1">
      <c r="A590" s="734" t="s">
        <v>468</v>
      </c>
      <c r="B590" s="146" t="s">
        <v>407</v>
      </c>
      <c r="C590" s="328">
        <f>(C580+C583)*50+C586*50</f>
        <v>836.5</v>
      </c>
      <c r="D590" s="329" t="s">
        <v>116</v>
      </c>
      <c r="E590" s="828"/>
      <c r="F590" s="911">
        <f t="shared" si="17"/>
        <v>0</v>
      </c>
      <c r="G590" s="163"/>
      <c r="IV590" s="132"/>
    </row>
    <row r="591" spans="1:256" s="162" customFormat="1">
      <c r="A591" s="773"/>
      <c r="B591" s="165"/>
      <c r="C591" s="340"/>
      <c r="D591" s="775"/>
      <c r="E591" s="842"/>
      <c r="F591" s="911"/>
      <c r="G591" s="163"/>
      <c r="IV591" s="132"/>
    </row>
    <row r="592" spans="1:256" s="162" customFormat="1" ht="51">
      <c r="A592" s="734" t="s">
        <v>467</v>
      </c>
      <c r="B592" s="146" t="s">
        <v>466</v>
      </c>
      <c r="C592" s="340"/>
      <c r="D592" s="329"/>
      <c r="E592" s="825"/>
      <c r="F592" s="911">
        <f t="shared" si="17"/>
        <v>0</v>
      </c>
      <c r="G592" s="163"/>
      <c r="IV592" s="132"/>
    </row>
    <row r="593" spans="1:256" s="162" customFormat="1">
      <c r="A593" s="734"/>
      <c r="B593" s="146"/>
      <c r="C593" s="328">
        <f>16.5*0.5</f>
        <v>8.25</v>
      </c>
      <c r="D593" s="329" t="s">
        <v>100</v>
      </c>
      <c r="E593" s="828"/>
      <c r="F593" s="911">
        <f t="shared" si="17"/>
        <v>0</v>
      </c>
      <c r="G593" s="163"/>
      <c r="IV593" s="132"/>
    </row>
    <row r="594" spans="1:256" s="162" customFormat="1">
      <c r="A594" s="770"/>
      <c r="B594" s="165"/>
      <c r="C594" s="340"/>
      <c r="D594" s="775"/>
      <c r="E594" s="842"/>
      <c r="F594" s="911"/>
      <c r="G594" s="163"/>
      <c r="IV594" s="132"/>
    </row>
    <row r="595" spans="1:256" s="162" customFormat="1" ht="38.25">
      <c r="A595" s="734" t="s">
        <v>465</v>
      </c>
      <c r="B595" s="146" t="s">
        <v>464</v>
      </c>
      <c r="C595" s="340"/>
      <c r="D595" s="329"/>
      <c r="E595" s="825"/>
      <c r="F595" s="911"/>
      <c r="G595" s="163"/>
      <c r="IV595" s="132"/>
    </row>
    <row r="596" spans="1:256" s="162" customFormat="1">
      <c r="A596" s="342"/>
      <c r="B596" s="146"/>
      <c r="C596" s="328">
        <f>8.2+4.7+8.6+0.4+5</f>
        <v>26.9</v>
      </c>
      <c r="D596" s="329" t="s">
        <v>100</v>
      </c>
      <c r="E596" s="828"/>
      <c r="F596" s="911">
        <f t="shared" si="17"/>
        <v>0</v>
      </c>
      <c r="G596" s="163"/>
      <c r="IV596" s="132"/>
    </row>
    <row r="597" spans="1:256" s="162" customFormat="1">
      <c r="A597" s="342"/>
      <c r="B597" s="146"/>
      <c r="C597" s="328"/>
      <c r="D597" s="329"/>
      <c r="E597" s="825"/>
      <c r="F597" s="911"/>
      <c r="G597" s="163"/>
      <c r="IV597" s="132"/>
    </row>
    <row r="598" spans="1:256" s="162" customFormat="1" ht="38.25">
      <c r="A598" s="734" t="s">
        <v>463</v>
      </c>
      <c r="B598" s="146" t="s">
        <v>462</v>
      </c>
      <c r="C598" s="340"/>
      <c r="D598" s="329"/>
      <c r="E598" s="825"/>
      <c r="F598" s="911"/>
      <c r="G598" s="163"/>
      <c r="IV598" s="132"/>
    </row>
    <row r="599" spans="1:256" s="162" customFormat="1">
      <c r="A599" s="342"/>
      <c r="B599" s="146"/>
      <c r="C599" s="328">
        <f>8.2+4.7+8.6+0.4+5</f>
        <v>26.9</v>
      </c>
      <c r="D599" s="329" t="s">
        <v>100</v>
      </c>
      <c r="E599" s="828"/>
      <c r="F599" s="911">
        <f t="shared" si="17"/>
        <v>0</v>
      </c>
      <c r="G599" s="163"/>
      <c r="IV599" s="132"/>
    </row>
    <row r="600" spans="1:256" s="162" customFormat="1">
      <c r="A600" s="770"/>
      <c r="B600" s="165"/>
      <c r="C600" s="340"/>
      <c r="D600" s="775"/>
      <c r="E600" s="842"/>
      <c r="F600" s="911"/>
      <c r="G600" s="163"/>
      <c r="IV600" s="132"/>
    </row>
    <row r="601" spans="1:256" s="162" customFormat="1" ht="38.25">
      <c r="A601" s="734" t="s">
        <v>461</v>
      </c>
      <c r="B601" s="146" t="s">
        <v>460</v>
      </c>
      <c r="C601" s="340"/>
      <c r="D601" s="329"/>
      <c r="E601" s="825"/>
      <c r="F601" s="911"/>
      <c r="G601" s="163"/>
      <c r="IV601" s="132"/>
    </row>
    <row r="602" spans="1:256" s="162" customFormat="1">
      <c r="A602" s="342"/>
      <c r="B602" s="146"/>
      <c r="C602" s="328">
        <v>3</v>
      </c>
      <c r="D602" s="329" t="s">
        <v>100</v>
      </c>
      <c r="E602" s="828"/>
      <c r="F602" s="911">
        <f t="shared" si="17"/>
        <v>0</v>
      </c>
      <c r="G602" s="163"/>
      <c r="IV602" s="132"/>
    </row>
    <row r="603" spans="1:256" s="162" customFormat="1">
      <c r="A603" s="342"/>
      <c r="B603" s="146"/>
      <c r="C603" s="328"/>
      <c r="D603" s="329"/>
      <c r="E603" s="825"/>
      <c r="F603" s="911"/>
      <c r="G603" s="163"/>
      <c r="IV603" s="132"/>
    </row>
    <row r="604" spans="1:256" s="162" customFormat="1" ht="51">
      <c r="A604" s="734" t="s">
        <v>457</v>
      </c>
      <c r="B604" s="146" t="s">
        <v>459</v>
      </c>
      <c r="C604" s="340"/>
      <c r="D604" s="329"/>
      <c r="E604" s="825"/>
      <c r="F604" s="911"/>
      <c r="G604" s="163"/>
      <c r="IV604" s="132"/>
    </row>
    <row r="605" spans="1:256" s="162" customFormat="1">
      <c r="A605" s="342"/>
      <c r="B605" s="146"/>
      <c r="C605" s="328">
        <v>3.1</v>
      </c>
      <c r="D605" s="329" t="s">
        <v>100</v>
      </c>
      <c r="E605" s="828"/>
      <c r="F605" s="911">
        <f t="shared" si="17"/>
        <v>0</v>
      </c>
      <c r="G605" s="163"/>
      <c r="IV605" s="132"/>
    </row>
    <row r="606" spans="1:256" s="162" customFormat="1">
      <c r="A606" s="342"/>
      <c r="B606" s="165"/>
      <c r="C606" s="340"/>
      <c r="D606" s="775"/>
      <c r="E606" s="842"/>
      <c r="F606" s="911"/>
      <c r="G606" s="163"/>
      <c r="IV606" s="132"/>
    </row>
    <row r="607" spans="1:256" s="162" customFormat="1" ht="38.25">
      <c r="A607" s="734" t="s">
        <v>458</v>
      </c>
      <c r="B607" s="146" t="s">
        <v>399</v>
      </c>
      <c r="C607" s="340"/>
      <c r="D607" s="329"/>
      <c r="E607" s="825"/>
      <c r="F607" s="911"/>
      <c r="G607" s="163"/>
      <c r="IV607" s="132"/>
    </row>
    <row r="608" spans="1:256" s="162" customFormat="1">
      <c r="A608" s="342"/>
      <c r="B608" s="146"/>
      <c r="C608" s="328">
        <v>75</v>
      </c>
      <c r="D608" s="329" t="s">
        <v>108</v>
      </c>
      <c r="E608" s="828"/>
      <c r="F608" s="911">
        <f t="shared" si="17"/>
        <v>0</v>
      </c>
      <c r="G608" s="163"/>
      <c r="IV608" s="132"/>
    </row>
    <row r="609" spans="1:256" s="162" customFormat="1">
      <c r="A609" s="342"/>
      <c r="B609" s="146"/>
      <c r="C609" s="328"/>
      <c r="D609" s="329"/>
      <c r="E609" s="825"/>
      <c r="F609" s="911"/>
      <c r="G609" s="163"/>
      <c r="IV609" s="132"/>
    </row>
    <row r="610" spans="1:256" s="162" customFormat="1" ht="25.5">
      <c r="A610" s="734" t="s">
        <v>457</v>
      </c>
      <c r="B610" s="146" t="s">
        <v>397</v>
      </c>
      <c r="C610" s="328"/>
      <c r="D610" s="329"/>
      <c r="E610" s="825"/>
      <c r="F610" s="911"/>
      <c r="G610" s="163"/>
      <c r="IV610" s="132"/>
    </row>
    <row r="611" spans="1:256" s="162" customFormat="1">
      <c r="A611" s="734"/>
      <c r="B611" s="146"/>
      <c r="C611" s="328">
        <v>3.9</v>
      </c>
      <c r="D611" s="329" t="s">
        <v>108</v>
      </c>
      <c r="E611" s="828"/>
      <c r="F611" s="911">
        <f t="shared" si="17"/>
        <v>0</v>
      </c>
      <c r="G611" s="163"/>
      <c r="IV611" s="132"/>
    </row>
    <row r="612" spans="1:256" s="162" customFormat="1">
      <c r="A612" s="773"/>
      <c r="B612" s="146"/>
      <c r="C612" s="748"/>
      <c r="D612" s="769"/>
      <c r="E612" s="840"/>
      <c r="F612" s="911"/>
      <c r="G612" s="163"/>
      <c r="IV612" s="132"/>
    </row>
    <row r="613" spans="1:256" s="162" customFormat="1">
      <c r="A613" s="734"/>
      <c r="B613" s="164" t="s">
        <v>456</v>
      </c>
      <c r="C613" s="748"/>
      <c r="D613" s="769"/>
      <c r="E613" s="840"/>
      <c r="F613" s="911"/>
      <c r="G613" s="163"/>
      <c r="IV613" s="132"/>
    </row>
    <row r="614" spans="1:256" s="162" customFormat="1" ht="25.5">
      <c r="A614" s="332"/>
      <c r="B614" s="146" t="s">
        <v>434</v>
      </c>
      <c r="C614" s="328"/>
      <c r="D614" s="329"/>
      <c r="E614" s="825"/>
      <c r="F614" s="911"/>
      <c r="G614" s="163"/>
      <c r="IV614" s="132"/>
    </row>
    <row r="615" spans="1:256" s="162" customFormat="1">
      <c r="A615" s="342"/>
      <c r="B615" s="146" t="s">
        <v>433</v>
      </c>
      <c r="C615" s="328">
        <f>161.61*0.4*2</f>
        <v>129.28800000000001</v>
      </c>
      <c r="D615" s="329"/>
      <c r="E615" s="825"/>
      <c r="F615" s="911">
        <f t="shared" si="17"/>
        <v>0</v>
      </c>
      <c r="G615" s="163"/>
      <c r="IV615" s="132"/>
    </row>
    <row r="616" spans="1:256" s="162" customFormat="1">
      <c r="A616" s="734" t="s">
        <v>455</v>
      </c>
      <c r="B616" s="146" t="s">
        <v>431</v>
      </c>
      <c r="C616" s="328">
        <f>C615*0.7</f>
        <v>90.501599999999996</v>
      </c>
      <c r="D616" s="329" t="s">
        <v>98</v>
      </c>
      <c r="E616" s="828"/>
      <c r="F616" s="911">
        <f t="shared" si="17"/>
        <v>0</v>
      </c>
      <c r="G616" s="163"/>
      <c r="IV616" s="132"/>
    </row>
    <row r="617" spans="1:256" s="162" customFormat="1">
      <c r="A617" s="734" t="s">
        <v>454</v>
      </c>
      <c r="B617" s="146" t="s">
        <v>429</v>
      </c>
      <c r="C617" s="328">
        <f>C615*0.2</f>
        <v>25.857600000000005</v>
      </c>
      <c r="D617" s="133" t="s">
        <v>98</v>
      </c>
      <c r="E617" s="828"/>
      <c r="F617" s="911">
        <f t="shared" si="17"/>
        <v>0</v>
      </c>
      <c r="G617" s="163"/>
      <c r="IV617" s="132"/>
    </row>
    <row r="618" spans="1:256" s="162" customFormat="1">
      <c r="A618" s="734" t="s">
        <v>453</v>
      </c>
      <c r="B618" s="146" t="s">
        <v>427</v>
      </c>
      <c r="C618" s="328">
        <f>C615*0.1</f>
        <v>12.928800000000003</v>
      </c>
      <c r="D618" s="329" t="s">
        <v>98</v>
      </c>
      <c r="E618" s="828"/>
      <c r="F618" s="911">
        <f t="shared" si="17"/>
        <v>0</v>
      </c>
      <c r="G618" s="163"/>
      <c r="IV618" s="132"/>
    </row>
    <row r="619" spans="1:256" s="162" customFormat="1">
      <c r="A619" s="770"/>
      <c r="B619" s="771"/>
      <c r="C619" s="344"/>
      <c r="D619" s="772"/>
      <c r="E619" s="841"/>
      <c r="F619" s="911"/>
      <c r="G619" s="163"/>
      <c r="IV619" s="132"/>
    </row>
    <row r="620" spans="1:256" s="162" customFormat="1" ht="25.5">
      <c r="A620" s="734" t="s">
        <v>452</v>
      </c>
      <c r="B620" s="580" t="s">
        <v>425</v>
      </c>
      <c r="C620" s="328"/>
      <c r="D620" s="754"/>
      <c r="E620" s="825"/>
      <c r="F620" s="911"/>
      <c r="G620" s="163"/>
      <c r="IV620" s="132"/>
    </row>
    <row r="621" spans="1:256" s="162" customFormat="1">
      <c r="A621" s="734"/>
      <c r="B621" s="580"/>
      <c r="C621" s="328">
        <f>161.61*1.3</f>
        <v>210.09300000000002</v>
      </c>
      <c r="D621" s="329" t="s">
        <v>100</v>
      </c>
      <c r="E621" s="828"/>
      <c r="F621" s="911">
        <f t="shared" si="17"/>
        <v>0</v>
      </c>
      <c r="G621" s="163"/>
      <c r="IV621" s="132"/>
    </row>
    <row r="622" spans="1:256" s="162" customFormat="1">
      <c r="A622" s="734"/>
      <c r="B622" s="774"/>
      <c r="C622" s="340"/>
      <c r="D622" s="775"/>
      <c r="E622" s="842"/>
      <c r="F622" s="911"/>
      <c r="G622" s="163"/>
      <c r="IV622" s="132"/>
    </row>
    <row r="623" spans="1:256" s="162" customFormat="1" ht="38.25">
      <c r="A623" s="734" t="s">
        <v>451</v>
      </c>
      <c r="B623" s="580" t="s">
        <v>423</v>
      </c>
      <c r="C623" s="328"/>
      <c r="D623" s="754"/>
      <c r="E623" s="825"/>
      <c r="F623" s="911"/>
      <c r="G623" s="163"/>
      <c r="IV623" s="132"/>
    </row>
    <row r="624" spans="1:256" s="162" customFormat="1">
      <c r="A624" s="734"/>
      <c r="B624" s="580"/>
      <c r="C624" s="328">
        <f>C621*0.1</f>
        <v>21.009300000000003</v>
      </c>
      <c r="D624" s="329" t="s">
        <v>98</v>
      </c>
      <c r="E624" s="828"/>
      <c r="F624" s="911">
        <f t="shared" si="17"/>
        <v>0</v>
      </c>
      <c r="G624" s="163"/>
      <c r="IV624" s="132"/>
    </row>
    <row r="625" spans="1:256" s="162" customFormat="1">
      <c r="A625" s="773"/>
      <c r="B625" s="774"/>
      <c r="C625" s="340"/>
      <c r="D625" s="775"/>
      <c r="E625" s="842"/>
      <c r="F625" s="911"/>
      <c r="G625" s="163"/>
      <c r="IV625" s="132"/>
    </row>
    <row r="626" spans="1:256" s="162" customFormat="1" ht="51">
      <c r="A626" s="734" t="s">
        <v>450</v>
      </c>
      <c r="B626" s="146" t="s">
        <v>421</v>
      </c>
      <c r="C626" s="328"/>
      <c r="D626" s="329"/>
      <c r="E626" s="825"/>
      <c r="F626" s="911"/>
      <c r="G626" s="163"/>
      <c r="IV626" s="132"/>
    </row>
    <row r="627" spans="1:256" s="162" customFormat="1" ht="25.5">
      <c r="A627" s="734"/>
      <c r="B627" s="146" t="s">
        <v>420</v>
      </c>
      <c r="C627" s="328">
        <v>0</v>
      </c>
      <c r="D627" s="329" t="s">
        <v>98</v>
      </c>
      <c r="E627" s="828"/>
      <c r="F627" s="911">
        <f t="shared" si="17"/>
        <v>0</v>
      </c>
      <c r="G627" s="163"/>
      <c r="IV627" s="132"/>
    </row>
    <row r="628" spans="1:256" s="162" customFormat="1">
      <c r="A628" s="773"/>
      <c r="B628" s="774"/>
      <c r="C628" s="340"/>
      <c r="D628" s="775"/>
      <c r="E628" s="842"/>
      <c r="F628" s="911"/>
      <c r="G628" s="163"/>
      <c r="IV628" s="132"/>
    </row>
    <row r="629" spans="1:256" s="162" customFormat="1" ht="63.75">
      <c r="A629" s="734" t="s">
        <v>449</v>
      </c>
      <c r="B629" s="146" t="s">
        <v>418</v>
      </c>
      <c r="C629" s="328"/>
      <c r="D629" s="329"/>
      <c r="E629" s="825"/>
      <c r="F629" s="911"/>
      <c r="G629" s="163"/>
      <c r="IV629" s="132"/>
    </row>
    <row r="630" spans="1:256" s="162" customFormat="1">
      <c r="A630" s="734"/>
      <c r="B630" s="146"/>
      <c r="C630" s="328">
        <f>C615-C627</f>
        <v>129.28800000000001</v>
      </c>
      <c r="D630" s="329" t="s">
        <v>98</v>
      </c>
      <c r="E630" s="828"/>
      <c r="F630" s="911">
        <f t="shared" si="17"/>
        <v>0</v>
      </c>
      <c r="G630" s="163"/>
      <c r="IV630" s="132"/>
    </row>
    <row r="631" spans="1:256" s="162" customFormat="1">
      <c r="A631" s="776"/>
      <c r="B631" s="771"/>
      <c r="C631" s="344"/>
      <c r="D631" s="772"/>
      <c r="E631" s="841"/>
      <c r="F631" s="911"/>
      <c r="G631" s="163"/>
      <c r="IV631" s="132"/>
    </row>
    <row r="632" spans="1:256" s="162" customFormat="1" ht="38.25">
      <c r="A632" s="734" t="s">
        <v>448</v>
      </c>
      <c r="B632" s="146" t="s">
        <v>416</v>
      </c>
      <c r="C632" s="328"/>
      <c r="D632" s="329"/>
      <c r="E632" s="825"/>
      <c r="F632" s="911"/>
      <c r="G632" s="163"/>
      <c r="IV632" s="132"/>
    </row>
    <row r="633" spans="1:256" s="162" customFormat="1">
      <c r="A633" s="342"/>
      <c r="B633" s="146"/>
      <c r="C633" s="328">
        <f>C621*0.05</f>
        <v>10.504650000000002</v>
      </c>
      <c r="D633" s="329" t="s">
        <v>98</v>
      </c>
      <c r="E633" s="828"/>
      <c r="F633" s="911">
        <f t="shared" si="17"/>
        <v>0</v>
      </c>
      <c r="G633" s="163"/>
      <c r="IV633" s="132"/>
    </row>
    <row r="634" spans="1:256" s="162" customFormat="1">
      <c r="A634" s="773"/>
      <c r="B634" s="165"/>
      <c r="C634" s="340"/>
      <c r="D634" s="775"/>
      <c r="E634" s="842"/>
      <c r="F634" s="911"/>
      <c r="G634" s="163"/>
      <c r="IV634" s="132"/>
    </row>
    <row r="635" spans="1:256" s="162" customFormat="1" ht="51">
      <c r="A635" s="734" t="s">
        <v>447</v>
      </c>
      <c r="B635" s="146" t="s">
        <v>414</v>
      </c>
      <c r="C635" s="328"/>
      <c r="D635" s="329"/>
      <c r="E635" s="825"/>
      <c r="F635" s="911"/>
      <c r="G635" s="163"/>
      <c r="IV635" s="132"/>
    </row>
    <row r="636" spans="1:256" s="162" customFormat="1">
      <c r="A636" s="734"/>
      <c r="B636" s="146"/>
      <c r="C636" s="328">
        <f>161.61*0.4*1.2</f>
        <v>77.572800000000001</v>
      </c>
      <c r="D636" s="329" t="s">
        <v>98</v>
      </c>
      <c r="E636" s="828"/>
      <c r="F636" s="911">
        <f t="shared" ref="F636:F699" si="18">ROUND(ROUND(C636,2)*ROUND(E636,2),2)</f>
        <v>0</v>
      </c>
      <c r="G636" s="163"/>
      <c r="IV636" s="132"/>
    </row>
    <row r="637" spans="1:256" s="162" customFormat="1">
      <c r="A637" s="770"/>
      <c r="B637" s="165"/>
      <c r="C637" s="340"/>
      <c r="D637" s="775"/>
      <c r="E637" s="842"/>
      <c r="F637" s="911"/>
      <c r="G637" s="163"/>
      <c r="IV637" s="132"/>
    </row>
    <row r="638" spans="1:256" s="162" customFormat="1" ht="63.75">
      <c r="A638" s="734" t="s">
        <v>446</v>
      </c>
      <c r="B638" s="146" t="s">
        <v>445</v>
      </c>
      <c r="C638" s="328"/>
      <c r="D638" s="329"/>
      <c r="E638" s="825"/>
      <c r="F638" s="911"/>
      <c r="G638" s="163"/>
      <c r="IV638" s="132"/>
    </row>
    <row r="639" spans="1:256" s="162" customFormat="1">
      <c r="A639" s="342"/>
      <c r="B639" s="146"/>
      <c r="C639" s="328">
        <f>208*0.3+36.7*0.25</f>
        <v>71.575000000000003</v>
      </c>
      <c r="D639" s="329" t="s">
        <v>98</v>
      </c>
      <c r="E639" s="828"/>
      <c r="F639" s="911">
        <f t="shared" si="18"/>
        <v>0</v>
      </c>
      <c r="G639" s="163"/>
      <c r="IV639" s="132"/>
    </row>
    <row r="640" spans="1:256" s="162" customFormat="1">
      <c r="A640" s="773"/>
      <c r="B640" s="165"/>
      <c r="C640" s="340"/>
      <c r="D640" s="775"/>
      <c r="E640" s="842"/>
      <c r="F640" s="911"/>
      <c r="G640" s="163"/>
      <c r="IV640" s="132"/>
    </row>
    <row r="641" spans="1:256" s="162" customFormat="1" ht="25.5">
      <c r="A641" s="342"/>
      <c r="B641" s="146" t="s">
        <v>411</v>
      </c>
      <c r="C641" s="328"/>
      <c r="D641" s="329"/>
      <c r="E641" s="825"/>
      <c r="F641" s="911"/>
      <c r="G641" s="163"/>
      <c r="IV641" s="132"/>
    </row>
    <row r="642" spans="1:256" s="162" customFormat="1">
      <c r="A642" s="734" t="s">
        <v>444</v>
      </c>
      <c r="B642" s="146" t="s">
        <v>409</v>
      </c>
      <c r="C642" s="328">
        <f>C636*60+C639*30</f>
        <v>6801.6180000000004</v>
      </c>
      <c r="D642" s="329" t="s">
        <v>116</v>
      </c>
      <c r="E642" s="828"/>
      <c r="F642" s="911">
        <f t="shared" si="18"/>
        <v>0</v>
      </c>
      <c r="G642" s="163"/>
      <c r="IV642" s="132"/>
    </row>
    <row r="643" spans="1:256" s="162" customFormat="1">
      <c r="A643" s="734" t="s">
        <v>443</v>
      </c>
      <c r="B643" s="146" t="s">
        <v>407</v>
      </c>
      <c r="C643" s="328">
        <f>C636*50+C639*50</f>
        <v>7457.3899999999994</v>
      </c>
      <c r="D643" s="329" t="s">
        <v>116</v>
      </c>
      <c r="E643" s="828"/>
      <c r="F643" s="911">
        <f t="shared" si="18"/>
        <v>0</v>
      </c>
      <c r="G643" s="163"/>
      <c r="IV643" s="132"/>
    </row>
    <row r="644" spans="1:256" s="162" customFormat="1">
      <c r="A644" s="773"/>
      <c r="B644" s="165"/>
      <c r="C644" s="340"/>
      <c r="D644" s="775"/>
      <c r="E644" s="842"/>
      <c r="F644" s="911"/>
      <c r="G644" s="163"/>
      <c r="IV644" s="132"/>
    </row>
    <row r="645" spans="1:256" s="162" customFormat="1" ht="51">
      <c r="A645" s="734" t="s">
        <v>442</v>
      </c>
      <c r="B645" s="146" t="s">
        <v>405</v>
      </c>
      <c r="C645" s="328"/>
      <c r="D645" s="329"/>
      <c r="E645" s="825"/>
      <c r="F645" s="911"/>
      <c r="G645" s="163"/>
      <c r="IV645" s="132"/>
    </row>
    <row r="646" spans="1:256" s="162" customFormat="1">
      <c r="A646" s="734"/>
      <c r="B646" s="146"/>
      <c r="C646" s="328">
        <f>184.64*1.2*0.5</f>
        <v>110.78399999999999</v>
      </c>
      <c r="D646" s="329" t="s">
        <v>100</v>
      </c>
      <c r="E646" s="828"/>
      <c r="F646" s="911">
        <f t="shared" si="18"/>
        <v>0</v>
      </c>
      <c r="G646" s="163"/>
      <c r="IV646" s="132"/>
    </row>
    <row r="647" spans="1:256" s="162" customFormat="1">
      <c r="A647" s="770"/>
      <c r="B647" s="165"/>
      <c r="C647" s="340"/>
      <c r="D647" s="775"/>
      <c r="E647" s="842"/>
      <c r="F647" s="911"/>
      <c r="G647" s="163"/>
      <c r="IV647" s="132"/>
    </row>
    <row r="648" spans="1:256" s="162" customFormat="1" ht="38.25">
      <c r="A648" s="734" t="s">
        <v>441</v>
      </c>
      <c r="B648" s="146" t="s">
        <v>440</v>
      </c>
      <c r="C648" s="328"/>
      <c r="D648" s="329"/>
      <c r="E648" s="825"/>
      <c r="F648" s="911"/>
      <c r="G648" s="163"/>
      <c r="IV648" s="132"/>
    </row>
    <row r="649" spans="1:256" s="162" customFormat="1">
      <c r="A649" s="342"/>
      <c r="B649" s="146"/>
      <c r="C649" s="328">
        <f>208+34+2.7</f>
        <v>244.7</v>
      </c>
      <c r="D649" s="329" t="s">
        <v>100</v>
      </c>
      <c r="E649" s="828"/>
      <c r="F649" s="911">
        <f t="shared" si="18"/>
        <v>0</v>
      </c>
      <c r="G649" s="163"/>
      <c r="IV649" s="132"/>
    </row>
    <row r="650" spans="1:256" s="162" customFormat="1">
      <c r="A650" s="770"/>
      <c r="B650" s="165"/>
      <c r="C650" s="340"/>
      <c r="D650" s="775"/>
      <c r="E650" s="842"/>
      <c r="F650" s="911"/>
      <c r="G650" s="163"/>
      <c r="IV650" s="132"/>
    </row>
    <row r="651" spans="1:256" s="162" customFormat="1" ht="38.25">
      <c r="A651" s="734" t="s">
        <v>439</v>
      </c>
      <c r="B651" s="146" t="s">
        <v>438</v>
      </c>
      <c r="C651" s="328"/>
      <c r="D651" s="329"/>
      <c r="E651" s="825"/>
      <c r="F651" s="911"/>
      <c r="G651" s="163"/>
      <c r="IV651" s="132"/>
    </row>
    <row r="652" spans="1:256" s="162" customFormat="1">
      <c r="A652" s="342"/>
      <c r="B652" s="146"/>
      <c r="C652" s="328">
        <f>208+34+2.7</f>
        <v>244.7</v>
      </c>
      <c r="D652" s="329" t="s">
        <v>100</v>
      </c>
      <c r="E652" s="828"/>
      <c r="F652" s="911">
        <f t="shared" si="18"/>
        <v>0</v>
      </c>
      <c r="G652" s="163"/>
      <c r="IV652" s="132"/>
    </row>
    <row r="653" spans="1:256" s="162" customFormat="1">
      <c r="A653" s="773"/>
      <c r="B653" s="165"/>
      <c r="C653" s="340"/>
      <c r="D653" s="775"/>
      <c r="E653" s="842"/>
      <c r="F653" s="911"/>
      <c r="G653" s="163"/>
      <c r="IV653" s="132"/>
    </row>
    <row r="654" spans="1:256" s="162" customFormat="1" ht="38.25">
      <c r="A654" s="734" t="s">
        <v>437</v>
      </c>
      <c r="B654" s="146" t="s">
        <v>399</v>
      </c>
      <c r="C654" s="328"/>
      <c r="D654" s="329"/>
      <c r="E654" s="825"/>
      <c r="F654" s="911"/>
      <c r="G654" s="163"/>
      <c r="IV654" s="132"/>
    </row>
    <row r="655" spans="1:256" s="162" customFormat="1">
      <c r="A655" s="734"/>
      <c r="B655" s="146"/>
      <c r="C655" s="328">
        <v>612</v>
      </c>
      <c r="D655" s="329" t="s">
        <v>108</v>
      </c>
      <c r="E655" s="828"/>
      <c r="F655" s="911">
        <f t="shared" si="18"/>
        <v>0</v>
      </c>
      <c r="G655" s="163"/>
      <c r="IV655" s="132"/>
    </row>
    <row r="656" spans="1:256" s="162" customFormat="1">
      <c r="A656" s="734"/>
      <c r="B656" s="146"/>
      <c r="C656" s="328"/>
      <c r="D656" s="329"/>
      <c r="E656" s="825"/>
      <c r="F656" s="911"/>
      <c r="G656" s="163"/>
      <c r="IV656" s="132"/>
    </row>
    <row r="657" spans="1:256" s="162" customFormat="1" ht="25.5">
      <c r="A657" s="734" t="s">
        <v>436</v>
      </c>
      <c r="B657" s="146" t="s">
        <v>397</v>
      </c>
      <c r="C657" s="328"/>
      <c r="D657" s="329"/>
      <c r="E657" s="825"/>
      <c r="F657" s="911"/>
      <c r="G657" s="163"/>
      <c r="IV657" s="132"/>
    </row>
    <row r="658" spans="1:256" s="162" customFormat="1">
      <c r="A658" s="734"/>
      <c r="B658" s="146"/>
      <c r="C658" s="328">
        <v>30</v>
      </c>
      <c r="D658" s="329" t="s">
        <v>108</v>
      </c>
      <c r="E658" s="828"/>
      <c r="F658" s="911">
        <f t="shared" si="18"/>
        <v>0</v>
      </c>
      <c r="G658" s="163"/>
      <c r="IV658" s="132"/>
    </row>
    <row r="659" spans="1:256" s="162" customFormat="1">
      <c r="A659" s="768"/>
      <c r="B659" s="146"/>
      <c r="C659" s="748"/>
      <c r="D659" s="769"/>
      <c r="E659" s="840"/>
      <c r="F659" s="911"/>
      <c r="G659" s="163"/>
      <c r="IV659" s="132"/>
    </row>
    <row r="660" spans="1:256" s="162" customFormat="1">
      <c r="A660" s="768"/>
      <c r="B660" s="164" t="s">
        <v>435</v>
      </c>
      <c r="C660" s="748"/>
      <c r="D660" s="769"/>
      <c r="E660" s="840"/>
      <c r="F660" s="911"/>
      <c r="G660" s="163"/>
      <c r="IV660" s="132"/>
    </row>
    <row r="661" spans="1:256" s="162" customFormat="1" ht="25.5">
      <c r="A661" s="332"/>
      <c r="B661" s="146" t="s">
        <v>434</v>
      </c>
      <c r="C661" s="328"/>
      <c r="D661" s="329"/>
      <c r="E661" s="825"/>
      <c r="F661" s="911"/>
      <c r="G661" s="163"/>
      <c r="IV661" s="132"/>
    </row>
    <row r="662" spans="1:256" s="162" customFormat="1">
      <c r="A662" s="342"/>
      <c r="B662" s="146" t="s">
        <v>433</v>
      </c>
      <c r="C662" s="328">
        <f>6*0.4*2</f>
        <v>4.8000000000000007</v>
      </c>
      <c r="D662" s="329"/>
      <c r="E662" s="825"/>
      <c r="F662" s="911">
        <f t="shared" si="18"/>
        <v>0</v>
      </c>
      <c r="G662" s="163"/>
      <c r="IV662" s="132"/>
    </row>
    <row r="663" spans="1:256" s="162" customFormat="1">
      <c r="A663" s="734" t="s">
        <v>432</v>
      </c>
      <c r="B663" s="146" t="s">
        <v>431</v>
      </c>
      <c r="C663" s="328">
        <f>C662*0.7</f>
        <v>3.3600000000000003</v>
      </c>
      <c r="D663" s="329" t="s">
        <v>98</v>
      </c>
      <c r="E663" s="828"/>
      <c r="F663" s="911">
        <f t="shared" si="18"/>
        <v>0</v>
      </c>
      <c r="G663" s="163"/>
      <c r="IV663" s="132"/>
    </row>
    <row r="664" spans="1:256" s="162" customFormat="1">
      <c r="A664" s="734" t="s">
        <v>430</v>
      </c>
      <c r="B664" s="146" t="s">
        <v>429</v>
      </c>
      <c r="C664" s="328">
        <f>C662*0.2</f>
        <v>0.96000000000000019</v>
      </c>
      <c r="D664" s="133" t="s">
        <v>98</v>
      </c>
      <c r="E664" s="828"/>
      <c r="F664" s="911">
        <f t="shared" si="18"/>
        <v>0</v>
      </c>
      <c r="G664" s="163"/>
      <c r="IV664" s="132"/>
    </row>
    <row r="665" spans="1:256" s="162" customFormat="1">
      <c r="A665" s="734" t="s">
        <v>428</v>
      </c>
      <c r="B665" s="146" t="s">
        <v>427</v>
      </c>
      <c r="C665" s="328">
        <f>C662*0.1</f>
        <v>0.48000000000000009</v>
      </c>
      <c r="D665" s="329" t="s">
        <v>98</v>
      </c>
      <c r="E665" s="828"/>
      <c r="F665" s="911">
        <f t="shared" si="18"/>
        <v>0</v>
      </c>
      <c r="G665" s="163"/>
      <c r="IV665" s="132"/>
    </row>
    <row r="666" spans="1:256" s="162" customFormat="1">
      <c r="A666" s="770"/>
      <c r="B666" s="771"/>
      <c r="C666" s="344"/>
      <c r="D666" s="772"/>
      <c r="E666" s="841"/>
      <c r="F666" s="911"/>
      <c r="G666" s="163"/>
      <c r="IV666" s="132"/>
    </row>
    <row r="667" spans="1:256" s="162" customFormat="1" ht="25.5">
      <c r="A667" s="734" t="s">
        <v>426</v>
      </c>
      <c r="B667" s="580" t="s">
        <v>425</v>
      </c>
      <c r="C667" s="328"/>
      <c r="D667" s="754"/>
      <c r="E667" s="825"/>
      <c r="F667" s="911"/>
      <c r="G667" s="163"/>
      <c r="IV667" s="132"/>
    </row>
    <row r="668" spans="1:256" s="162" customFormat="1">
      <c r="A668" s="734"/>
      <c r="B668" s="580"/>
      <c r="C668" s="328">
        <f>6*1.3</f>
        <v>7.8000000000000007</v>
      </c>
      <c r="D668" s="329" t="s">
        <v>100</v>
      </c>
      <c r="E668" s="828"/>
      <c r="F668" s="911">
        <f t="shared" si="18"/>
        <v>0</v>
      </c>
      <c r="G668" s="163"/>
      <c r="IV668" s="132"/>
    </row>
    <row r="669" spans="1:256" s="162" customFormat="1">
      <c r="A669" s="734"/>
      <c r="B669" s="774"/>
      <c r="C669" s="340"/>
      <c r="D669" s="775"/>
      <c r="E669" s="842"/>
      <c r="F669" s="911"/>
      <c r="G669" s="163"/>
      <c r="IV669" s="132"/>
    </row>
    <row r="670" spans="1:256" s="162" customFormat="1" ht="38.25">
      <c r="A670" s="734" t="s">
        <v>424</v>
      </c>
      <c r="B670" s="580" t="s">
        <v>423</v>
      </c>
      <c r="C670" s="328"/>
      <c r="D670" s="754"/>
      <c r="E670" s="825"/>
      <c r="F670" s="911"/>
      <c r="G670" s="163"/>
      <c r="IV670" s="132"/>
    </row>
    <row r="671" spans="1:256" s="162" customFormat="1">
      <c r="A671" s="734"/>
      <c r="B671" s="580"/>
      <c r="C671" s="328">
        <f>C668*0.1</f>
        <v>0.78000000000000014</v>
      </c>
      <c r="D671" s="329" t="s">
        <v>98</v>
      </c>
      <c r="E671" s="828"/>
      <c r="F671" s="911">
        <f t="shared" si="18"/>
        <v>0</v>
      </c>
      <c r="G671" s="163"/>
      <c r="IV671" s="132"/>
    </row>
    <row r="672" spans="1:256" s="162" customFormat="1">
      <c r="A672" s="773"/>
      <c r="B672" s="774"/>
      <c r="C672" s="340"/>
      <c r="D672" s="775"/>
      <c r="E672" s="842"/>
      <c r="F672" s="911"/>
      <c r="G672" s="163"/>
      <c r="IV672" s="132"/>
    </row>
    <row r="673" spans="1:256" s="162" customFormat="1" ht="51">
      <c r="A673" s="734" t="s">
        <v>422</v>
      </c>
      <c r="B673" s="146" t="s">
        <v>421</v>
      </c>
      <c r="C673" s="328"/>
      <c r="D673" s="329"/>
      <c r="E673" s="825"/>
      <c r="F673" s="911"/>
      <c r="G673" s="163"/>
      <c r="IV673" s="132"/>
    </row>
    <row r="674" spans="1:256" s="162" customFormat="1" ht="25.5">
      <c r="A674" s="734"/>
      <c r="B674" s="146" t="s">
        <v>420</v>
      </c>
      <c r="C674" s="328">
        <v>0</v>
      </c>
      <c r="D674" s="329" t="s">
        <v>98</v>
      </c>
      <c r="E674" s="828"/>
      <c r="F674" s="911">
        <f t="shared" si="18"/>
        <v>0</v>
      </c>
      <c r="G674" s="163"/>
      <c r="IV674" s="132"/>
    </row>
    <row r="675" spans="1:256" s="162" customFormat="1">
      <c r="A675" s="773"/>
      <c r="B675" s="774"/>
      <c r="C675" s="340"/>
      <c r="D675" s="775"/>
      <c r="E675" s="842"/>
      <c r="F675" s="911"/>
      <c r="G675" s="163"/>
      <c r="IV675" s="132"/>
    </row>
    <row r="676" spans="1:256" s="162" customFormat="1" ht="63.75">
      <c r="A676" s="734" t="s">
        <v>419</v>
      </c>
      <c r="B676" s="146" t="s">
        <v>418</v>
      </c>
      <c r="C676" s="328"/>
      <c r="D676" s="329"/>
      <c r="E676" s="825"/>
      <c r="F676" s="911"/>
      <c r="G676" s="163"/>
      <c r="IV676" s="132"/>
    </row>
    <row r="677" spans="1:256" s="162" customFormat="1">
      <c r="A677" s="734"/>
      <c r="B677" s="146"/>
      <c r="C677" s="328">
        <f>C662-C674</f>
        <v>4.8000000000000007</v>
      </c>
      <c r="D677" s="329" t="s">
        <v>98</v>
      </c>
      <c r="E677" s="828"/>
      <c r="F677" s="911">
        <f t="shared" si="18"/>
        <v>0</v>
      </c>
      <c r="G677" s="163"/>
      <c r="IV677" s="132"/>
    </row>
    <row r="678" spans="1:256" s="162" customFormat="1">
      <c r="A678" s="776"/>
      <c r="B678" s="771"/>
      <c r="C678" s="344"/>
      <c r="D678" s="772"/>
      <c r="E678" s="841"/>
      <c r="F678" s="911"/>
      <c r="G678" s="163"/>
      <c r="IV678" s="132"/>
    </row>
    <row r="679" spans="1:256" s="162" customFormat="1" ht="38.25">
      <c r="A679" s="734" t="s">
        <v>417</v>
      </c>
      <c r="B679" s="146" t="s">
        <v>416</v>
      </c>
      <c r="C679" s="328"/>
      <c r="D679" s="329"/>
      <c r="E679" s="825"/>
      <c r="F679" s="911"/>
      <c r="G679" s="163"/>
      <c r="IV679" s="132"/>
    </row>
    <row r="680" spans="1:256" s="162" customFormat="1">
      <c r="A680" s="342"/>
      <c r="B680" s="146"/>
      <c r="C680" s="328">
        <f>C668*0.05</f>
        <v>0.39000000000000007</v>
      </c>
      <c r="D680" s="329" t="s">
        <v>98</v>
      </c>
      <c r="E680" s="828"/>
      <c r="F680" s="911">
        <f t="shared" si="18"/>
        <v>0</v>
      </c>
      <c r="G680" s="163"/>
      <c r="IV680" s="132"/>
    </row>
    <row r="681" spans="1:256" s="162" customFormat="1">
      <c r="A681" s="773"/>
      <c r="B681" s="165"/>
      <c r="C681" s="340"/>
      <c r="D681" s="775"/>
      <c r="E681" s="842"/>
      <c r="F681" s="911"/>
      <c r="G681" s="163"/>
      <c r="IV681" s="132"/>
    </row>
    <row r="682" spans="1:256" s="162" customFormat="1" ht="51">
      <c r="A682" s="734" t="s">
        <v>415</v>
      </c>
      <c r="B682" s="146" t="s">
        <v>414</v>
      </c>
      <c r="C682" s="328"/>
      <c r="D682" s="329"/>
      <c r="E682" s="825"/>
      <c r="F682" s="911"/>
      <c r="G682" s="163"/>
      <c r="IV682" s="132"/>
    </row>
    <row r="683" spans="1:256" s="162" customFormat="1">
      <c r="A683" s="734"/>
      <c r="B683" s="146"/>
      <c r="C683" s="328">
        <f>6*0.4</f>
        <v>2.4000000000000004</v>
      </c>
      <c r="D683" s="329" t="s">
        <v>98</v>
      </c>
      <c r="E683" s="828"/>
      <c r="F683" s="911">
        <f t="shared" si="18"/>
        <v>0</v>
      </c>
      <c r="G683" s="163"/>
      <c r="IV683" s="132"/>
    </row>
    <row r="684" spans="1:256" s="162" customFormat="1">
      <c r="A684" s="770"/>
      <c r="B684" s="165"/>
      <c r="C684" s="340"/>
      <c r="D684" s="775"/>
      <c r="E684" s="842"/>
      <c r="F684" s="911"/>
      <c r="G684" s="163"/>
      <c r="IV684" s="132"/>
    </row>
    <row r="685" spans="1:256" s="162" customFormat="1" ht="51">
      <c r="A685" s="734" t="s">
        <v>413</v>
      </c>
      <c r="B685" s="146" t="s">
        <v>412</v>
      </c>
      <c r="C685" s="328"/>
      <c r="D685" s="329"/>
      <c r="E685" s="825"/>
      <c r="F685" s="911"/>
      <c r="G685" s="163"/>
      <c r="IV685" s="132"/>
    </row>
    <row r="686" spans="1:256" s="162" customFormat="1">
      <c r="A686" s="342"/>
      <c r="B686" s="146"/>
      <c r="C686" s="328">
        <f>7.2*0.25</f>
        <v>1.8</v>
      </c>
      <c r="D686" s="329" t="s">
        <v>98</v>
      </c>
      <c r="E686" s="828"/>
      <c r="F686" s="911">
        <f t="shared" si="18"/>
        <v>0</v>
      </c>
      <c r="G686" s="163"/>
      <c r="IV686" s="132"/>
    </row>
    <row r="687" spans="1:256" s="162" customFormat="1">
      <c r="A687" s="773"/>
      <c r="B687" s="165"/>
      <c r="C687" s="340"/>
      <c r="D687" s="775"/>
      <c r="E687" s="842"/>
      <c r="F687" s="911"/>
      <c r="G687" s="163"/>
      <c r="IV687" s="132"/>
    </row>
    <row r="688" spans="1:256" s="162" customFormat="1" ht="25.5">
      <c r="A688" s="342"/>
      <c r="B688" s="146" t="s">
        <v>411</v>
      </c>
      <c r="C688" s="328"/>
      <c r="D688" s="329"/>
      <c r="E688" s="825"/>
      <c r="F688" s="911"/>
      <c r="G688" s="163"/>
      <c r="IV688" s="132"/>
    </row>
    <row r="689" spans="1:256" s="162" customFormat="1">
      <c r="A689" s="734" t="s">
        <v>410</v>
      </c>
      <c r="B689" s="146" t="s">
        <v>409</v>
      </c>
      <c r="C689" s="328">
        <f>C683*60+C686*30</f>
        <v>198.00000000000003</v>
      </c>
      <c r="D689" s="329" t="s">
        <v>116</v>
      </c>
      <c r="E689" s="828"/>
      <c r="F689" s="911">
        <f t="shared" si="18"/>
        <v>0</v>
      </c>
      <c r="G689" s="163"/>
      <c r="IV689" s="132"/>
    </row>
    <row r="690" spans="1:256" s="162" customFormat="1">
      <c r="A690" s="734" t="s">
        <v>408</v>
      </c>
      <c r="B690" s="146" t="s">
        <v>407</v>
      </c>
      <c r="C690" s="328">
        <f>C683*50+C686*50</f>
        <v>210</v>
      </c>
      <c r="D690" s="329" t="s">
        <v>116</v>
      </c>
      <c r="E690" s="828"/>
      <c r="F690" s="911">
        <f t="shared" si="18"/>
        <v>0</v>
      </c>
      <c r="G690" s="163"/>
      <c r="IV690" s="132"/>
    </row>
    <row r="691" spans="1:256" s="162" customFormat="1">
      <c r="A691" s="773"/>
      <c r="B691" s="165"/>
      <c r="C691" s="340"/>
      <c r="D691" s="775"/>
      <c r="E691" s="842"/>
      <c r="F691" s="911"/>
      <c r="G691" s="163"/>
      <c r="IV691" s="132"/>
    </row>
    <row r="692" spans="1:256" s="162" customFormat="1" ht="51">
      <c r="A692" s="734" t="s">
        <v>406</v>
      </c>
      <c r="B692" s="146" t="s">
        <v>405</v>
      </c>
      <c r="C692" s="328"/>
      <c r="D692" s="329"/>
      <c r="E692" s="825"/>
      <c r="F692" s="911"/>
      <c r="G692" s="163"/>
      <c r="IV692" s="132"/>
    </row>
    <row r="693" spans="1:256" s="162" customFormat="1">
      <c r="A693" s="734"/>
      <c r="B693" s="146"/>
      <c r="C693" s="328">
        <f>11*0.5</f>
        <v>5.5</v>
      </c>
      <c r="D693" s="329" t="s">
        <v>100</v>
      </c>
      <c r="E693" s="828"/>
      <c r="F693" s="911">
        <f t="shared" si="18"/>
        <v>0</v>
      </c>
      <c r="G693" s="163"/>
      <c r="IV693" s="132"/>
    </row>
    <row r="694" spans="1:256" s="162" customFormat="1">
      <c r="A694" s="770"/>
      <c r="B694" s="165"/>
      <c r="C694" s="340"/>
      <c r="D694" s="775"/>
      <c r="E694" s="842"/>
      <c r="F694" s="911"/>
      <c r="G694" s="163"/>
      <c r="IV694" s="132"/>
    </row>
    <row r="695" spans="1:256" s="162" customFormat="1" ht="38.25">
      <c r="A695" s="734" t="s">
        <v>404</v>
      </c>
      <c r="B695" s="146" t="s">
        <v>403</v>
      </c>
      <c r="C695" s="328"/>
      <c r="D695" s="329"/>
      <c r="E695" s="825"/>
      <c r="F695" s="911"/>
      <c r="G695" s="163"/>
      <c r="IV695" s="132"/>
    </row>
    <row r="696" spans="1:256" s="162" customFormat="1">
      <c r="A696" s="342"/>
      <c r="B696" s="146"/>
      <c r="C696" s="328">
        <f>7.2</f>
        <v>7.2</v>
      </c>
      <c r="D696" s="329" t="s">
        <v>100</v>
      </c>
      <c r="E696" s="828"/>
      <c r="F696" s="911">
        <f t="shared" si="18"/>
        <v>0</v>
      </c>
      <c r="G696" s="163"/>
      <c r="IV696" s="132"/>
    </row>
    <row r="697" spans="1:256" s="162" customFormat="1">
      <c r="A697" s="770"/>
      <c r="B697" s="165"/>
      <c r="C697" s="340"/>
      <c r="D697" s="775"/>
      <c r="E697" s="842"/>
      <c r="F697" s="911"/>
      <c r="G697" s="163"/>
      <c r="IV697" s="132"/>
    </row>
    <row r="698" spans="1:256" s="162" customFormat="1" ht="38.25">
      <c r="A698" s="734" t="s">
        <v>402</v>
      </c>
      <c r="B698" s="146" t="s">
        <v>401</v>
      </c>
      <c r="C698" s="328"/>
      <c r="D698" s="329"/>
      <c r="E698" s="825"/>
      <c r="F698" s="911"/>
      <c r="G698" s="163"/>
      <c r="IV698" s="132"/>
    </row>
    <row r="699" spans="1:256" s="162" customFormat="1">
      <c r="A699" s="342"/>
      <c r="B699" s="146"/>
      <c r="C699" s="328">
        <f>7.2</f>
        <v>7.2</v>
      </c>
      <c r="D699" s="329" t="s">
        <v>100</v>
      </c>
      <c r="E699" s="828"/>
      <c r="F699" s="911">
        <f t="shared" si="18"/>
        <v>0</v>
      </c>
      <c r="G699" s="163"/>
      <c r="IV699" s="132"/>
    </row>
    <row r="700" spans="1:256" s="162" customFormat="1">
      <c r="A700" s="773"/>
      <c r="B700" s="165"/>
      <c r="C700" s="340"/>
      <c r="D700" s="775"/>
      <c r="E700" s="842"/>
      <c r="F700" s="911"/>
      <c r="G700" s="163"/>
      <c r="IV700" s="132"/>
    </row>
    <row r="701" spans="1:256" s="162" customFormat="1" ht="38.25">
      <c r="A701" s="734" t="s">
        <v>400</v>
      </c>
      <c r="B701" s="146" t="s">
        <v>399</v>
      </c>
      <c r="C701" s="328"/>
      <c r="D701" s="329"/>
      <c r="E701" s="825"/>
      <c r="F701" s="911"/>
      <c r="G701" s="163"/>
      <c r="IV701" s="132"/>
    </row>
    <row r="702" spans="1:256" s="162" customFormat="1">
      <c r="A702" s="734"/>
      <c r="B702" s="146"/>
      <c r="C702" s="328">
        <v>16</v>
      </c>
      <c r="D702" s="329" t="s">
        <v>108</v>
      </c>
      <c r="E702" s="828"/>
      <c r="F702" s="911">
        <f t="shared" ref="F702:F709" si="19">ROUND(ROUND(C702,2)*ROUND(E702,2),2)</f>
        <v>0</v>
      </c>
      <c r="G702" s="163"/>
      <c r="IV702" s="132"/>
    </row>
    <row r="703" spans="1:256" s="162" customFormat="1">
      <c r="A703" s="734"/>
      <c r="B703" s="146"/>
      <c r="C703" s="328"/>
      <c r="D703" s="329"/>
      <c r="E703" s="825"/>
      <c r="F703" s="911"/>
      <c r="G703" s="163"/>
      <c r="IV703" s="132"/>
    </row>
    <row r="704" spans="1:256" s="162" customFormat="1" ht="25.5">
      <c r="A704" s="734" t="s">
        <v>398</v>
      </c>
      <c r="B704" s="146" t="s">
        <v>397</v>
      </c>
      <c r="C704" s="328"/>
      <c r="D704" s="329"/>
      <c r="E704" s="825"/>
      <c r="F704" s="911"/>
      <c r="G704" s="163"/>
      <c r="IV704" s="132"/>
    </row>
    <row r="705" spans="1:256" s="162" customFormat="1">
      <c r="A705" s="734"/>
      <c r="B705" s="146"/>
      <c r="C705" s="328">
        <v>1.8</v>
      </c>
      <c r="D705" s="329" t="s">
        <v>108</v>
      </c>
      <c r="E705" s="828"/>
      <c r="F705" s="911">
        <f t="shared" si="19"/>
        <v>0</v>
      </c>
      <c r="G705" s="163"/>
      <c r="IV705" s="132"/>
    </row>
    <row r="706" spans="1:256" s="162" customFormat="1">
      <c r="A706" s="734"/>
      <c r="B706" s="146"/>
      <c r="C706" s="328"/>
      <c r="D706" s="329"/>
      <c r="E706" s="825"/>
      <c r="F706" s="911"/>
      <c r="G706" s="163"/>
      <c r="IV706" s="132"/>
    </row>
    <row r="707" spans="1:256" s="162" customFormat="1">
      <c r="A707" s="734"/>
      <c r="B707" s="164" t="s">
        <v>396</v>
      </c>
      <c r="C707" s="328"/>
      <c r="D707" s="329"/>
      <c r="E707" s="825"/>
      <c r="F707" s="911"/>
      <c r="G707" s="163"/>
      <c r="IV707" s="132"/>
    </row>
    <row r="708" spans="1:256" s="162" customFormat="1" ht="216.75">
      <c r="A708" s="734" t="s">
        <v>395</v>
      </c>
      <c r="B708" s="146" t="s">
        <v>394</v>
      </c>
      <c r="C708" s="328"/>
      <c r="D708" s="329"/>
      <c r="E708" s="825"/>
      <c r="F708" s="911"/>
      <c r="G708" s="163"/>
      <c r="IV708" s="132"/>
    </row>
    <row r="709" spans="1:256" s="162" customFormat="1">
      <c r="A709" s="734"/>
      <c r="B709" s="146"/>
      <c r="C709" s="328">
        <v>10.4</v>
      </c>
      <c r="D709" s="329" t="s">
        <v>98</v>
      </c>
      <c r="E709" s="828"/>
      <c r="F709" s="911">
        <f t="shared" si="19"/>
        <v>0</v>
      </c>
      <c r="G709" s="163"/>
      <c r="IV709" s="132"/>
    </row>
    <row r="710" spans="1:256" s="143" customFormat="1">
      <c r="A710" s="734"/>
      <c r="B710" s="146"/>
      <c r="C710" s="340"/>
      <c r="D710" s="329"/>
      <c r="E710" s="833"/>
      <c r="F710" s="908"/>
      <c r="IU710" s="132"/>
      <c r="IV710" s="132"/>
    </row>
    <row r="711" spans="1:256" s="143" customFormat="1">
      <c r="A711" s="734"/>
      <c r="B711" s="526" t="s">
        <v>393</v>
      </c>
      <c r="C711" s="777"/>
      <c r="D711" s="778"/>
      <c r="E711" s="843"/>
      <c r="F711" s="915">
        <f>SUM(F235:F702)</f>
        <v>0</v>
      </c>
      <c r="IU711" s="132"/>
      <c r="IV711" s="132"/>
    </row>
    <row r="712" spans="1:256" s="143" customFormat="1">
      <c r="A712" s="734"/>
      <c r="B712" s="526"/>
      <c r="C712" s="340"/>
      <c r="D712" s="133"/>
      <c r="E712" s="825"/>
      <c r="F712" s="908"/>
      <c r="IU712" s="132"/>
      <c r="IV712" s="132"/>
    </row>
    <row r="713" spans="1:256">
      <c r="A713" s="331" t="s">
        <v>102</v>
      </c>
      <c r="B713" s="526" t="s">
        <v>249</v>
      </c>
      <c r="C713" s="779"/>
      <c r="D713" s="780"/>
      <c r="E713" s="843"/>
      <c r="F713" s="917"/>
      <c r="G713" s="159"/>
      <c r="H713" s="132"/>
      <c r="I713" s="132"/>
      <c r="J713" s="132"/>
      <c r="K713" s="132"/>
      <c r="L713" s="132"/>
      <c r="M713" s="132"/>
      <c r="N713" s="132"/>
      <c r="O713" s="132"/>
      <c r="P713" s="132"/>
      <c r="Q713" s="132"/>
      <c r="R713" s="132"/>
      <c r="S713" s="132"/>
      <c r="T713" s="132"/>
      <c r="U713" s="132"/>
      <c r="V713" s="132"/>
      <c r="W713" s="132"/>
      <c r="X713" s="132"/>
      <c r="Y713" s="132"/>
      <c r="Z713" s="132"/>
      <c r="AA713" s="132"/>
      <c r="AB713" s="132"/>
      <c r="AC713" s="132"/>
      <c r="AD713" s="132"/>
      <c r="AE713" s="132"/>
      <c r="AF713" s="132"/>
      <c r="AG713" s="132"/>
      <c r="AH713" s="132"/>
      <c r="AI713" s="132"/>
      <c r="AJ713" s="132"/>
      <c r="AK713" s="132"/>
      <c r="AL713" s="132"/>
      <c r="AM713" s="132"/>
      <c r="AN713" s="132"/>
      <c r="AO713" s="132"/>
      <c r="AP713" s="132"/>
      <c r="AQ713" s="132"/>
      <c r="AR713" s="132"/>
      <c r="AS713" s="132"/>
      <c r="AT713" s="132"/>
      <c r="AU713" s="132"/>
      <c r="AV713" s="132"/>
      <c r="AW713" s="132"/>
      <c r="AX713" s="132"/>
      <c r="AY713" s="132"/>
      <c r="AZ713" s="132"/>
      <c r="BA713" s="132"/>
      <c r="BB713" s="132"/>
      <c r="BC713" s="132"/>
      <c r="BD713" s="132"/>
      <c r="BE713" s="132"/>
      <c r="BF713" s="132"/>
      <c r="BG713" s="132"/>
      <c r="BH713" s="132"/>
      <c r="BI713" s="132"/>
      <c r="BJ713" s="132"/>
      <c r="BK713" s="132"/>
      <c r="BL713" s="132"/>
      <c r="BM713" s="132"/>
      <c r="BN713" s="132"/>
      <c r="BO713" s="132"/>
      <c r="BP713" s="132"/>
      <c r="BQ713" s="132"/>
      <c r="BR713" s="132"/>
      <c r="BS713" s="132"/>
      <c r="BT713" s="132"/>
      <c r="BU713" s="132"/>
      <c r="BV713" s="132"/>
      <c r="BW713" s="132"/>
      <c r="BX713" s="132"/>
      <c r="BY713" s="132"/>
      <c r="BZ713" s="132"/>
      <c r="CA713" s="132"/>
      <c r="CB713" s="132"/>
      <c r="CC713" s="132"/>
      <c r="CD713" s="132"/>
      <c r="CE713" s="132"/>
      <c r="CF713" s="132"/>
      <c r="CG713" s="132"/>
      <c r="CH713" s="132"/>
      <c r="CI713" s="132"/>
      <c r="CJ713" s="132"/>
      <c r="CK713" s="132"/>
      <c r="CL713" s="132"/>
      <c r="CM713" s="132"/>
      <c r="CN713" s="132"/>
      <c r="CO713" s="132"/>
      <c r="CP713" s="132"/>
      <c r="CQ713" s="132"/>
      <c r="CR713" s="132"/>
      <c r="CS713" s="132"/>
      <c r="CT713" s="132"/>
      <c r="CU713" s="132"/>
      <c r="CV713" s="132"/>
      <c r="CW713" s="132"/>
      <c r="CX713" s="132"/>
      <c r="CY713" s="132"/>
      <c r="CZ713" s="132"/>
      <c r="DA713" s="132"/>
      <c r="DB713" s="132"/>
      <c r="DC713" s="132"/>
      <c r="DD713" s="132"/>
      <c r="DE713" s="132"/>
      <c r="DF713" s="132"/>
      <c r="DG713" s="132"/>
      <c r="DH713" s="132"/>
      <c r="DI713" s="132"/>
      <c r="DJ713" s="132"/>
      <c r="DK713" s="132"/>
      <c r="DL713" s="132"/>
      <c r="DM713" s="132"/>
      <c r="DN713" s="132"/>
      <c r="DO713" s="132"/>
      <c r="DP713" s="132"/>
      <c r="DQ713" s="132"/>
      <c r="DR713" s="132"/>
      <c r="DS713" s="132"/>
      <c r="DT713" s="132"/>
      <c r="DU713" s="132"/>
      <c r="DV713" s="132"/>
      <c r="DW713" s="132"/>
      <c r="DX713" s="132"/>
      <c r="DY713" s="132"/>
      <c r="DZ713" s="132"/>
      <c r="EA713" s="132"/>
      <c r="EB713" s="132"/>
      <c r="EC713" s="132"/>
      <c r="ED713" s="132"/>
      <c r="EE713" s="132"/>
      <c r="EF713" s="132"/>
      <c r="EG713" s="132"/>
      <c r="EH713" s="132"/>
      <c r="EI713" s="132"/>
      <c r="EJ713" s="132"/>
      <c r="EK713" s="132"/>
      <c r="EL713" s="132"/>
      <c r="EM713" s="132"/>
      <c r="EN713" s="132"/>
      <c r="EO713" s="132"/>
      <c r="EP713" s="132"/>
      <c r="EQ713" s="132"/>
      <c r="ER713" s="132"/>
      <c r="ES713" s="132"/>
      <c r="ET713" s="132"/>
      <c r="EU713" s="132"/>
      <c r="EV713" s="132"/>
      <c r="EW713" s="132"/>
      <c r="EX713" s="132"/>
      <c r="EY713" s="132"/>
      <c r="EZ713" s="132"/>
      <c r="FA713" s="132"/>
      <c r="FB713" s="132"/>
      <c r="FC713" s="132"/>
      <c r="FD713" s="132"/>
      <c r="FE713" s="132"/>
      <c r="FF713" s="132"/>
      <c r="FG713" s="132"/>
      <c r="FH713" s="132"/>
      <c r="FI713" s="132"/>
      <c r="FJ713" s="132"/>
      <c r="FK713" s="132"/>
      <c r="FL713" s="132"/>
      <c r="FM713" s="132"/>
      <c r="FN713" s="132"/>
      <c r="FO713" s="132"/>
      <c r="FP713" s="132"/>
      <c r="FQ713" s="132"/>
      <c r="FR713" s="132"/>
      <c r="FS713" s="132"/>
      <c r="FT713" s="132"/>
      <c r="FU713" s="132"/>
      <c r="FV713" s="132"/>
      <c r="FW713" s="132"/>
      <c r="FX713" s="132"/>
      <c r="FY713" s="132"/>
      <c r="FZ713" s="132"/>
      <c r="GA713" s="132"/>
      <c r="GB713" s="132"/>
      <c r="GC713" s="132"/>
      <c r="GD713" s="132"/>
      <c r="GE713" s="132"/>
      <c r="GF713" s="132"/>
      <c r="GG713" s="132"/>
      <c r="GH713" s="132"/>
      <c r="GI713" s="132"/>
      <c r="GJ713" s="132"/>
      <c r="GK713" s="132"/>
      <c r="GL713" s="132"/>
      <c r="GM713" s="132"/>
      <c r="GN713" s="132"/>
      <c r="GO713" s="132"/>
      <c r="GP713" s="132"/>
      <c r="GQ713" s="132"/>
      <c r="GR713" s="132"/>
      <c r="GS713" s="132"/>
      <c r="GT713" s="132"/>
      <c r="GU713" s="132"/>
      <c r="GV713" s="132"/>
      <c r="GW713" s="132"/>
      <c r="GX713" s="132"/>
      <c r="GY713" s="132"/>
      <c r="GZ713" s="132"/>
      <c r="HA713" s="132"/>
      <c r="HB713" s="132"/>
      <c r="HC713" s="132"/>
      <c r="HD713" s="132"/>
      <c r="HE713" s="132"/>
      <c r="HF713" s="132"/>
      <c r="HG713" s="132"/>
      <c r="HH713" s="132"/>
      <c r="HI713" s="132"/>
      <c r="HJ713" s="132"/>
      <c r="HK713" s="132"/>
      <c r="HL713" s="132"/>
      <c r="HM713" s="132"/>
      <c r="HN713" s="132"/>
      <c r="HO713" s="132"/>
      <c r="HP713" s="132"/>
      <c r="HQ713" s="132"/>
      <c r="HR713" s="132"/>
      <c r="HS713" s="132"/>
      <c r="HT713" s="132"/>
      <c r="HU713" s="132"/>
      <c r="HV713" s="132"/>
      <c r="HW713" s="132"/>
      <c r="HX713" s="132"/>
      <c r="HY713" s="132"/>
      <c r="HZ713" s="132"/>
      <c r="IA713" s="132"/>
      <c r="IB713" s="132"/>
      <c r="IC713" s="132"/>
      <c r="ID713" s="132"/>
      <c r="IE713" s="132"/>
      <c r="IF713" s="132"/>
      <c r="IG713" s="132"/>
      <c r="IH713" s="132"/>
      <c r="II713" s="132"/>
      <c r="IJ713" s="132"/>
      <c r="IK713" s="132"/>
      <c r="IL713" s="132"/>
      <c r="IM713" s="132"/>
      <c r="IN713" s="132"/>
      <c r="IO713" s="132"/>
      <c r="IP713" s="132"/>
      <c r="IQ713" s="132"/>
      <c r="IR713" s="132"/>
      <c r="IS713" s="132"/>
      <c r="IT713" s="132"/>
    </row>
    <row r="714" spans="1:256">
      <c r="A714" s="342"/>
      <c r="B714" s="578"/>
      <c r="C714" s="779"/>
      <c r="D714" s="780"/>
      <c r="E714" s="843"/>
      <c r="F714" s="917"/>
      <c r="G714" s="159"/>
      <c r="H714" s="132"/>
      <c r="I714" s="132"/>
      <c r="J714" s="132"/>
      <c r="K714" s="132"/>
      <c r="L714" s="132"/>
      <c r="M714" s="132"/>
      <c r="N714" s="132"/>
      <c r="O714" s="132"/>
      <c r="P714" s="132"/>
      <c r="Q714" s="132"/>
      <c r="R714" s="132"/>
      <c r="S714" s="132"/>
      <c r="T714" s="132"/>
      <c r="U714" s="132"/>
      <c r="V714" s="132"/>
      <c r="W714" s="132"/>
      <c r="X714" s="132"/>
      <c r="Y714" s="132"/>
      <c r="Z714" s="132"/>
      <c r="AA714" s="132"/>
      <c r="AB714" s="132"/>
      <c r="AC714" s="132"/>
      <c r="AD714" s="132"/>
      <c r="AE714" s="132"/>
      <c r="AF714" s="132"/>
      <c r="AG714" s="132"/>
      <c r="AH714" s="132"/>
      <c r="AI714" s="132"/>
      <c r="AJ714" s="132"/>
      <c r="AK714" s="132"/>
      <c r="AL714" s="132"/>
      <c r="AM714" s="132"/>
      <c r="AN714" s="132"/>
      <c r="AO714" s="132"/>
      <c r="AP714" s="132"/>
      <c r="AQ714" s="132"/>
      <c r="AR714" s="132"/>
      <c r="AS714" s="132"/>
      <c r="AT714" s="132"/>
      <c r="AU714" s="132"/>
      <c r="AV714" s="132"/>
      <c r="AW714" s="132"/>
      <c r="AX714" s="132"/>
      <c r="AY714" s="132"/>
      <c r="AZ714" s="132"/>
      <c r="BA714" s="132"/>
      <c r="BB714" s="132"/>
      <c r="BC714" s="132"/>
      <c r="BD714" s="132"/>
      <c r="BE714" s="132"/>
      <c r="BF714" s="132"/>
      <c r="BG714" s="132"/>
      <c r="BH714" s="132"/>
      <c r="BI714" s="132"/>
      <c r="BJ714" s="132"/>
      <c r="BK714" s="132"/>
      <c r="BL714" s="132"/>
      <c r="BM714" s="132"/>
      <c r="BN714" s="132"/>
      <c r="BO714" s="132"/>
      <c r="BP714" s="132"/>
      <c r="BQ714" s="132"/>
      <c r="BR714" s="132"/>
      <c r="BS714" s="132"/>
      <c r="BT714" s="132"/>
      <c r="BU714" s="132"/>
      <c r="BV714" s="132"/>
      <c r="BW714" s="132"/>
      <c r="BX714" s="132"/>
      <c r="BY714" s="132"/>
      <c r="BZ714" s="132"/>
      <c r="CA714" s="132"/>
      <c r="CB714" s="132"/>
      <c r="CC714" s="132"/>
      <c r="CD714" s="132"/>
      <c r="CE714" s="132"/>
      <c r="CF714" s="132"/>
      <c r="CG714" s="132"/>
      <c r="CH714" s="132"/>
      <c r="CI714" s="132"/>
      <c r="CJ714" s="132"/>
      <c r="CK714" s="132"/>
      <c r="CL714" s="132"/>
      <c r="CM714" s="132"/>
      <c r="CN714" s="132"/>
      <c r="CO714" s="132"/>
      <c r="CP714" s="132"/>
      <c r="CQ714" s="132"/>
      <c r="CR714" s="132"/>
      <c r="CS714" s="132"/>
      <c r="CT714" s="132"/>
      <c r="CU714" s="132"/>
      <c r="CV714" s="132"/>
      <c r="CW714" s="132"/>
      <c r="CX714" s="132"/>
      <c r="CY714" s="132"/>
      <c r="CZ714" s="132"/>
      <c r="DA714" s="132"/>
      <c r="DB714" s="132"/>
      <c r="DC714" s="132"/>
      <c r="DD714" s="132"/>
      <c r="DE714" s="132"/>
      <c r="DF714" s="132"/>
      <c r="DG714" s="132"/>
      <c r="DH714" s="132"/>
      <c r="DI714" s="132"/>
      <c r="DJ714" s="132"/>
      <c r="DK714" s="132"/>
      <c r="DL714" s="132"/>
      <c r="DM714" s="132"/>
      <c r="DN714" s="132"/>
      <c r="DO714" s="132"/>
      <c r="DP714" s="132"/>
      <c r="DQ714" s="132"/>
      <c r="DR714" s="132"/>
      <c r="DS714" s="132"/>
      <c r="DT714" s="132"/>
      <c r="DU714" s="132"/>
      <c r="DV714" s="132"/>
      <c r="DW714" s="132"/>
      <c r="DX714" s="132"/>
      <c r="DY714" s="132"/>
      <c r="DZ714" s="132"/>
      <c r="EA714" s="132"/>
      <c r="EB714" s="132"/>
      <c r="EC714" s="132"/>
      <c r="ED714" s="132"/>
      <c r="EE714" s="132"/>
      <c r="EF714" s="132"/>
      <c r="EG714" s="132"/>
      <c r="EH714" s="132"/>
      <c r="EI714" s="132"/>
      <c r="EJ714" s="132"/>
      <c r="EK714" s="132"/>
      <c r="EL714" s="132"/>
      <c r="EM714" s="132"/>
      <c r="EN714" s="132"/>
      <c r="EO714" s="132"/>
      <c r="EP714" s="132"/>
      <c r="EQ714" s="132"/>
      <c r="ER714" s="132"/>
      <c r="ES714" s="132"/>
      <c r="ET714" s="132"/>
      <c r="EU714" s="132"/>
      <c r="EV714" s="132"/>
      <c r="EW714" s="132"/>
      <c r="EX714" s="132"/>
      <c r="EY714" s="132"/>
      <c r="EZ714" s="132"/>
      <c r="FA714" s="132"/>
      <c r="FB714" s="132"/>
      <c r="FC714" s="132"/>
      <c r="FD714" s="132"/>
      <c r="FE714" s="132"/>
      <c r="FF714" s="132"/>
      <c r="FG714" s="132"/>
      <c r="FH714" s="132"/>
      <c r="FI714" s="132"/>
      <c r="FJ714" s="132"/>
      <c r="FK714" s="132"/>
      <c r="FL714" s="132"/>
      <c r="FM714" s="132"/>
      <c r="FN714" s="132"/>
      <c r="FO714" s="132"/>
      <c r="FP714" s="132"/>
      <c r="FQ714" s="132"/>
      <c r="FR714" s="132"/>
      <c r="FS714" s="132"/>
      <c r="FT714" s="132"/>
      <c r="FU714" s="132"/>
      <c r="FV714" s="132"/>
      <c r="FW714" s="132"/>
      <c r="FX714" s="132"/>
      <c r="FY714" s="132"/>
      <c r="FZ714" s="132"/>
      <c r="GA714" s="132"/>
      <c r="GB714" s="132"/>
      <c r="GC714" s="132"/>
      <c r="GD714" s="132"/>
      <c r="GE714" s="132"/>
      <c r="GF714" s="132"/>
      <c r="GG714" s="132"/>
      <c r="GH714" s="132"/>
      <c r="GI714" s="132"/>
      <c r="GJ714" s="132"/>
      <c r="GK714" s="132"/>
      <c r="GL714" s="132"/>
      <c r="GM714" s="132"/>
      <c r="GN714" s="132"/>
      <c r="GO714" s="132"/>
      <c r="GP714" s="132"/>
      <c r="GQ714" s="132"/>
      <c r="GR714" s="132"/>
      <c r="GS714" s="132"/>
      <c r="GT714" s="132"/>
      <c r="GU714" s="132"/>
      <c r="GV714" s="132"/>
      <c r="GW714" s="132"/>
      <c r="GX714" s="132"/>
      <c r="GY714" s="132"/>
      <c r="GZ714" s="132"/>
      <c r="HA714" s="132"/>
      <c r="HB714" s="132"/>
      <c r="HC714" s="132"/>
      <c r="HD714" s="132"/>
      <c r="HE714" s="132"/>
      <c r="HF714" s="132"/>
      <c r="HG714" s="132"/>
      <c r="HH714" s="132"/>
      <c r="HI714" s="132"/>
      <c r="HJ714" s="132"/>
      <c r="HK714" s="132"/>
      <c r="HL714" s="132"/>
      <c r="HM714" s="132"/>
      <c r="HN714" s="132"/>
      <c r="HO714" s="132"/>
      <c r="HP714" s="132"/>
      <c r="HQ714" s="132"/>
      <c r="HR714" s="132"/>
      <c r="HS714" s="132"/>
      <c r="HT714" s="132"/>
      <c r="HU714" s="132"/>
      <c r="HV714" s="132"/>
      <c r="HW714" s="132"/>
      <c r="HX714" s="132"/>
      <c r="HY714" s="132"/>
      <c r="HZ714" s="132"/>
      <c r="IA714" s="132"/>
      <c r="IB714" s="132"/>
      <c r="IC714" s="132"/>
      <c r="ID714" s="132"/>
      <c r="IE714" s="132"/>
      <c r="IF714" s="132"/>
      <c r="IG714" s="132"/>
      <c r="IH714" s="132"/>
      <c r="II714" s="132"/>
      <c r="IJ714" s="132"/>
      <c r="IK714" s="132"/>
      <c r="IL714" s="132"/>
      <c r="IM714" s="132"/>
      <c r="IN714" s="132"/>
      <c r="IO714" s="132"/>
      <c r="IP714" s="132"/>
      <c r="IQ714" s="132"/>
      <c r="IR714" s="132"/>
      <c r="IS714" s="132"/>
      <c r="IT714" s="132"/>
    </row>
    <row r="715" spans="1:256">
      <c r="A715" s="331" t="s">
        <v>392</v>
      </c>
      <c r="B715" s="526" t="s">
        <v>391</v>
      </c>
      <c r="C715" s="777"/>
      <c r="D715" s="778"/>
      <c r="E715" s="843"/>
      <c r="F715" s="917"/>
      <c r="G715" s="159"/>
      <c r="H715" s="132"/>
      <c r="I715" s="132"/>
      <c r="J715" s="132"/>
      <c r="K715" s="132"/>
      <c r="L715" s="132"/>
      <c r="M715" s="132"/>
      <c r="N715" s="132"/>
      <c r="O715" s="132"/>
      <c r="P715" s="132"/>
      <c r="Q715" s="132"/>
      <c r="R715" s="132"/>
      <c r="S715" s="132"/>
      <c r="T715" s="132"/>
      <c r="U715" s="132"/>
      <c r="V715" s="132"/>
      <c r="W715" s="132"/>
      <c r="X715" s="132"/>
      <c r="Y715" s="132"/>
      <c r="Z715" s="132"/>
      <c r="AA715" s="132"/>
      <c r="AB715" s="132"/>
      <c r="AC715" s="132"/>
      <c r="AD715" s="132"/>
      <c r="AE715" s="132"/>
      <c r="AF715" s="132"/>
      <c r="AG715" s="132"/>
      <c r="AH715" s="132"/>
      <c r="AI715" s="132"/>
      <c r="AJ715" s="132"/>
      <c r="AK715" s="132"/>
      <c r="AL715" s="132"/>
      <c r="AM715" s="132"/>
      <c r="AN715" s="132"/>
      <c r="AO715" s="132"/>
      <c r="AP715" s="132"/>
      <c r="AQ715" s="132"/>
      <c r="AR715" s="132"/>
      <c r="AS715" s="132"/>
      <c r="AT715" s="132"/>
      <c r="AU715" s="132"/>
      <c r="AV715" s="132"/>
      <c r="AW715" s="132"/>
      <c r="AX715" s="132"/>
      <c r="AY715" s="132"/>
      <c r="AZ715" s="132"/>
      <c r="BA715" s="132"/>
      <c r="BB715" s="132"/>
      <c r="BC715" s="132"/>
      <c r="BD715" s="132"/>
      <c r="BE715" s="132"/>
      <c r="BF715" s="132"/>
      <c r="BG715" s="132"/>
      <c r="BH715" s="132"/>
      <c r="BI715" s="132"/>
      <c r="BJ715" s="132"/>
      <c r="BK715" s="132"/>
      <c r="BL715" s="132"/>
      <c r="BM715" s="132"/>
      <c r="BN715" s="132"/>
      <c r="BO715" s="132"/>
      <c r="BP715" s="132"/>
      <c r="BQ715" s="132"/>
      <c r="BR715" s="132"/>
      <c r="BS715" s="132"/>
      <c r="BT715" s="132"/>
      <c r="BU715" s="132"/>
      <c r="BV715" s="132"/>
      <c r="BW715" s="132"/>
      <c r="BX715" s="132"/>
      <c r="BY715" s="132"/>
      <c r="BZ715" s="132"/>
      <c r="CA715" s="132"/>
      <c r="CB715" s="132"/>
      <c r="CC715" s="132"/>
      <c r="CD715" s="132"/>
      <c r="CE715" s="132"/>
      <c r="CF715" s="132"/>
      <c r="CG715" s="132"/>
      <c r="CH715" s="132"/>
      <c r="CI715" s="132"/>
      <c r="CJ715" s="132"/>
      <c r="CK715" s="132"/>
      <c r="CL715" s="132"/>
      <c r="CM715" s="132"/>
      <c r="CN715" s="132"/>
      <c r="CO715" s="132"/>
      <c r="CP715" s="132"/>
      <c r="CQ715" s="132"/>
      <c r="CR715" s="132"/>
      <c r="CS715" s="132"/>
      <c r="CT715" s="132"/>
      <c r="CU715" s="132"/>
      <c r="CV715" s="132"/>
      <c r="CW715" s="132"/>
      <c r="CX715" s="132"/>
      <c r="CY715" s="132"/>
      <c r="CZ715" s="132"/>
      <c r="DA715" s="132"/>
      <c r="DB715" s="132"/>
      <c r="DC715" s="132"/>
      <c r="DD715" s="132"/>
      <c r="DE715" s="132"/>
      <c r="DF715" s="132"/>
      <c r="DG715" s="132"/>
      <c r="DH715" s="132"/>
      <c r="DI715" s="132"/>
      <c r="DJ715" s="132"/>
      <c r="DK715" s="132"/>
      <c r="DL715" s="132"/>
      <c r="DM715" s="132"/>
      <c r="DN715" s="132"/>
      <c r="DO715" s="132"/>
      <c r="DP715" s="132"/>
      <c r="DQ715" s="132"/>
      <c r="DR715" s="132"/>
      <c r="DS715" s="132"/>
      <c r="DT715" s="132"/>
      <c r="DU715" s="132"/>
      <c r="DV715" s="132"/>
      <c r="DW715" s="132"/>
      <c r="DX715" s="132"/>
      <c r="DY715" s="132"/>
      <c r="DZ715" s="132"/>
      <c r="EA715" s="132"/>
      <c r="EB715" s="132"/>
      <c r="EC715" s="132"/>
      <c r="ED715" s="132"/>
      <c r="EE715" s="132"/>
      <c r="EF715" s="132"/>
      <c r="EG715" s="132"/>
      <c r="EH715" s="132"/>
      <c r="EI715" s="132"/>
      <c r="EJ715" s="132"/>
      <c r="EK715" s="132"/>
      <c r="EL715" s="132"/>
      <c r="EM715" s="132"/>
      <c r="EN715" s="132"/>
      <c r="EO715" s="132"/>
      <c r="EP715" s="132"/>
      <c r="EQ715" s="132"/>
      <c r="ER715" s="132"/>
      <c r="ES715" s="132"/>
      <c r="ET715" s="132"/>
      <c r="EU715" s="132"/>
      <c r="EV715" s="132"/>
      <c r="EW715" s="132"/>
      <c r="EX715" s="132"/>
      <c r="EY715" s="132"/>
      <c r="EZ715" s="132"/>
      <c r="FA715" s="132"/>
      <c r="FB715" s="132"/>
      <c r="FC715" s="132"/>
      <c r="FD715" s="132"/>
      <c r="FE715" s="132"/>
      <c r="FF715" s="132"/>
      <c r="FG715" s="132"/>
      <c r="FH715" s="132"/>
      <c r="FI715" s="132"/>
      <c r="FJ715" s="132"/>
      <c r="FK715" s="132"/>
      <c r="FL715" s="132"/>
      <c r="FM715" s="132"/>
      <c r="FN715" s="132"/>
      <c r="FO715" s="132"/>
      <c r="FP715" s="132"/>
      <c r="FQ715" s="132"/>
      <c r="FR715" s="132"/>
      <c r="FS715" s="132"/>
      <c r="FT715" s="132"/>
      <c r="FU715" s="132"/>
      <c r="FV715" s="132"/>
      <c r="FW715" s="132"/>
      <c r="FX715" s="132"/>
      <c r="FY715" s="132"/>
      <c r="FZ715" s="132"/>
      <c r="GA715" s="132"/>
      <c r="GB715" s="132"/>
      <c r="GC715" s="132"/>
      <c r="GD715" s="132"/>
      <c r="GE715" s="132"/>
      <c r="GF715" s="132"/>
      <c r="GG715" s="132"/>
      <c r="GH715" s="132"/>
      <c r="GI715" s="132"/>
      <c r="GJ715" s="132"/>
      <c r="GK715" s="132"/>
      <c r="GL715" s="132"/>
      <c r="GM715" s="132"/>
      <c r="GN715" s="132"/>
      <c r="GO715" s="132"/>
      <c r="GP715" s="132"/>
      <c r="GQ715" s="132"/>
      <c r="GR715" s="132"/>
      <c r="GS715" s="132"/>
      <c r="GT715" s="132"/>
      <c r="GU715" s="132"/>
      <c r="GV715" s="132"/>
      <c r="GW715" s="132"/>
      <c r="GX715" s="132"/>
      <c r="GY715" s="132"/>
      <c r="GZ715" s="132"/>
      <c r="HA715" s="132"/>
      <c r="HB715" s="132"/>
      <c r="HC715" s="132"/>
      <c r="HD715" s="132"/>
      <c r="HE715" s="132"/>
      <c r="HF715" s="132"/>
      <c r="HG715" s="132"/>
      <c r="HH715" s="132"/>
      <c r="HI715" s="132"/>
      <c r="HJ715" s="132"/>
      <c r="HK715" s="132"/>
      <c r="HL715" s="132"/>
      <c r="HM715" s="132"/>
      <c r="HN715" s="132"/>
      <c r="HO715" s="132"/>
      <c r="HP715" s="132"/>
      <c r="HQ715" s="132"/>
      <c r="HR715" s="132"/>
      <c r="HS715" s="132"/>
      <c r="HT715" s="132"/>
      <c r="HU715" s="132"/>
      <c r="HV715" s="132"/>
      <c r="HW715" s="132"/>
      <c r="HX715" s="132"/>
      <c r="HY715" s="132"/>
      <c r="HZ715" s="132"/>
      <c r="IA715" s="132"/>
      <c r="IB715" s="132"/>
      <c r="IC715" s="132"/>
      <c r="ID715" s="132"/>
      <c r="IE715" s="132"/>
      <c r="IF715" s="132"/>
      <c r="IG715" s="132"/>
      <c r="IH715" s="132"/>
      <c r="II715" s="132"/>
      <c r="IJ715" s="132"/>
      <c r="IK715" s="132"/>
      <c r="IL715" s="132"/>
      <c r="IM715" s="132"/>
      <c r="IN715" s="132"/>
      <c r="IO715" s="132"/>
      <c r="IP715" s="132"/>
      <c r="IQ715" s="132"/>
      <c r="IR715" s="132"/>
      <c r="IS715" s="132"/>
      <c r="IT715" s="132"/>
    </row>
    <row r="716" spans="1:256">
      <c r="A716" s="734"/>
      <c r="B716" s="146"/>
      <c r="C716" s="340"/>
      <c r="D716" s="329"/>
      <c r="F716" s="908"/>
      <c r="G716" s="159"/>
      <c r="H716" s="132"/>
      <c r="I716" s="132"/>
      <c r="J716" s="132"/>
      <c r="K716" s="132"/>
      <c r="L716" s="132"/>
      <c r="M716" s="132"/>
      <c r="N716" s="132"/>
      <c r="O716" s="132"/>
      <c r="P716" s="132"/>
      <c r="Q716" s="132"/>
      <c r="R716" s="132"/>
      <c r="S716" s="132"/>
      <c r="T716" s="132"/>
      <c r="U716" s="132"/>
      <c r="V716" s="132"/>
      <c r="W716" s="132"/>
      <c r="X716" s="132"/>
      <c r="Y716" s="132"/>
      <c r="Z716" s="132"/>
      <c r="AA716" s="132"/>
      <c r="AB716" s="132"/>
      <c r="AC716" s="132"/>
      <c r="AD716" s="132"/>
      <c r="AE716" s="132"/>
      <c r="AF716" s="132"/>
      <c r="AG716" s="132"/>
      <c r="AH716" s="132"/>
      <c r="AI716" s="132"/>
      <c r="AJ716" s="132"/>
      <c r="AK716" s="132"/>
      <c r="AL716" s="132"/>
      <c r="AM716" s="132"/>
      <c r="AN716" s="132"/>
      <c r="AO716" s="132"/>
      <c r="AP716" s="132"/>
      <c r="AQ716" s="132"/>
      <c r="AR716" s="132"/>
      <c r="AS716" s="132"/>
      <c r="AT716" s="132"/>
      <c r="AU716" s="132"/>
      <c r="AV716" s="132"/>
      <c r="AW716" s="132"/>
      <c r="AX716" s="132"/>
      <c r="AY716" s="132"/>
      <c r="AZ716" s="132"/>
      <c r="BA716" s="132"/>
      <c r="BB716" s="132"/>
      <c r="BC716" s="132"/>
      <c r="BD716" s="132"/>
      <c r="BE716" s="132"/>
      <c r="BF716" s="132"/>
      <c r="BG716" s="132"/>
      <c r="BH716" s="132"/>
      <c r="BI716" s="132"/>
      <c r="BJ716" s="132"/>
      <c r="BK716" s="132"/>
      <c r="BL716" s="132"/>
      <c r="BM716" s="132"/>
      <c r="BN716" s="132"/>
      <c r="BO716" s="132"/>
      <c r="BP716" s="132"/>
      <c r="BQ716" s="132"/>
      <c r="BR716" s="132"/>
      <c r="BS716" s="132"/>
      <c r="BT716" s="132"/>
      <c r="BU716" s="132"/>
      <c r="BV716" s="132"/>
      <c r="BW716" s="132"/>
      <c r="BX716" s="132"/>
      <c r="BY716" s="132"/>
      <c r="BZ716" s="132"/>
      <c r="CA716" s="132"/>
      <c r="CB716" s="132"/>
      <c r="CC716" s="132"/>
      <c r="CD716" s="132"/>
      <c r="CE716" s="132"/>
      <c r="CF716" s="132"/>
      <c r="CG716" s="132"/>
      <c r="CH716" s="132"/>
      <c r="CI716" s="132"/>
      <c r="CJ716" s="132"/>
      <c r="CK716" s="132"/>
      <c r="CL716" s="132"/>
      <c r="CM716" s="132"/>
      <c r="CN716" s="132"/>
      <c r="CO716" s="132"/>
      <c r="CP716" s="132"/>
      <c r="CQ716" s="132"/>
      <c r="CR716" s="132"/>
      <c r="CS716" s="132"/>
      <c r="CT716" s="132"/>
      <c r="CU716" s="132"/>
      <c r="CV716" s="132"/>
      <c r="CW716" s="132"/>
      <c r="CX716" s="132"/>
      <c r="CY716" s="132"/>
      <c r="CZ716" s="132"/>
      <c r="DA716" s="132"/>
      <c r="DB716" s="132"/>
      <c r="DC716" s="132"/>
      <c r="DD716" s="132"/>
      <c r="DE716" s="132"/>
      <c r="DF716" s="132"/>
      <c r="DG716" s="132"/>
      <c r="DH716" s="132"/>
      <c r="DI716" s="132"/>
      <c r="DJ716" s="132"/>
      <c r="DK716" s="132"/>
      <c r="DL716" s="132"/>
      <c r="DM716" s="132"/>
      <c r="DN716" s="132"/>
      <c r="DO716" s="132"/>
      <c r="DP716" s="132"/>
      <c r="DQ716" s="132"/>
      <c r="DR716" s="132"/>
      <c r="DS716" s="132"/>
      <c r="DT716" s="132"/>
      <c r="DU716" s="132"/>
      <c r="DV716" s="132"/>
      <c r="DW716" s="132"/>
      <c r="DX716" s="132"/>
      <c r="DY716" s="132"/>
      <c r="DZ716" s="132"/>
      <c r="EA716" s="132"/>
      <c r="EB716" s="132"/>
      <c r="EC716" s="132"/>
      <c r="ED716" s="132"/>
      <c r="EE716" s="132"/>
      <c r="EF716" s="132"/>
      <c r="EG716" s="132"/>
      <c r="EH716" s="132"/>
      <c r="EI716" s="132"/>
      <c r="EJ716" s="132"/>
      <c r="EK716" s="132"/>
      <c r="EL716" s="132"/>
      <c r="EM716" s="132"/>
      <c r="EN716" s="132"/>
      <c r="EO716" s="132"/>
      <c r="EP716" s="132"/>
      <c r="EQ716" s="132"/>
      <c r="ER716" s="132"/>
      <c r="ES716" s="132"/>
      <c r="ET716" s="132"/>
      <c r="EU716" s="132"/>
      <c r="EV716" s="132"/>
      <c r="EW716" s="132"/>
      <c r="EX716" s="132"/>
      <c r="EY716" s="132"/>
      <c r="EZ716" s="132"/>
      <c r="FA716" s="132"/>
      <c r="FB716" s="132"/>
      <c r="FC716" s="132"/>
      <c r="FD716" s="132"/>
      <c r="FE716" s="132"/>
      <c r="FF716" s="132"/>
      <c r="FG716" s="132"/>
      <c r="FH716" s="132"/>
      <c r="FI716" s="132"/>
      <c r="FJ716" s="132"/>
      <c r="FK716" s="132"/>
      <c r="FL716" s="132"/>
      <c r="FM716" s="132"/>
      <c r="FN716" s="132"/>
      <c r="FO716" s="132"/>
      <c r="FP716" s="132"/>
      <c r="FQ716" s="132"/>
      <c r="FR716" s="132"/>
      <c r="FS716" s="132"/>
      <c r="FT716" s="132"/>
      <c r="FU716" s="132"/>
      <c r="FV716" s="132"/>
      <c r="FW716" s="132"/>
      <c r="FX716" s="132"/>
      <c r="FY716" s="132"/>
      <c r="FZ716" s="132"/>
      <c r="GA716" s="132"/>
      <c r="GB716" s="132"/>
      <c r="GC716" s="132"/>
      <c r="GD716" s="132"/>
      <c r="GE716" s="132"/>
      <c r="GF716" s="132"/>
      <c r="GG716" s="132"/>
      <c r="GH716" s="132"/>
      <c r="GI716" s="132"/>
      <c r="GJ716" s="132"/>
      <c r="GK716" s="132"/>
      <c r="GL716" s="132"/>
      <c r="GM716" s="132"/>
      <c r="GN716" s="132"/>
      <c r="GO716" s="132"/>
      <c r="GP716" s="132"/>
      <c r="GQ716" s="132"/>
      <c r="GR716" s="132"/>
      <c r="GS716" s="132"/>
      <c r="GT716" s="132"/>
      <c r="GU716" s="132"/>
      <c r="GV716" s="132"/>
      <c r="GW716" s="132"/>
      <c r="GX716" s="132"/>
      <c r="GY716" s="132"/>
      <c r="GZ716" s="132"/>
      <c r="HA716" s="132"/>
      <c r="HB716" s="132"/>
      <c r="HC716" s="132"/>
      <c r="HD716" s="132"/>
      <c r="HE716" s="132"/>
      <c r="HF716" s="132"/>
      <c r="HG716" s="132"/>
      <c r="HH716" s="132"/>
      <c r="HI716" s="132"/>
      <c r="HJ716" s="132"/>
      <c r="HK716" s="132"/>
      <c r="HL716" s="132"/>
      <c r="HM716" s="132"/>
      <c r="HN716" s="132"/>
      <c r="HO716" s="132"/>
      <c r="HP716" s="132"/>
      <c r="HQ716" s="132"/>
      <c r="HR716" s="132"/>
      <c r="HS716" s="132"/>
      <c r="HT716" s="132"/>
      <c r="HU716" s="132"/>
      <c r="HV716" s="132"/>
      <c r="HW716" s="132"/>
      <c r="HX716" s="132"/>
      <c r="HY716" s="132"/>
      <c r="HZ716" s="132"/>
      <c r="IA716" s="132"/>
      <c r="IB716" s="132"/>
      <c r="IC716" s="132"/>
      <c r="ID716" s="132"/>
      <c r="IE716" s="132"/>
      <c r="IF716" s="132"/>
      <c r="IG716" s="132"/>
      <c r="IH716" s="132"/>
      <c r="II716" s="132"/>
      <c r="IJ716" s="132"/>
      <c r="IK716" s="132"/>
      <c r="IL716" s="132"/>
      <c r="IM716" s="132"/>
      <c r="IN716" s="132"/>
      <c r="IO716" s="132"/>
      <c r="IP716" s="132"/>
      <c r="IQ716" s="132"/>
      <c r="IR716" s="132"/>
      <c r="IS716" s="132"/>
      <c r="IT716" s="132"/>
    </row>
    <row r="717" spans="1:256" ht="25.5">
      <c r="A717" s="734" t="s">
        <v>390</v>
      </c>
      <c r="B717" s="146" t="s">
        <v>389</v>
      </c>
      <c r="C717" s="340"/>
      <c r="D717" s="329"/>
      <c r="E717" s="833"/>
      <c r="F717" s="908"/>
      <c r="G717" s="159"/>
      <c r="H717" s="132"/>
      <c r="I717" s="132"/>
      <c r="J717" s="132"/>
      <c r="K717" s="132"/>
      <c r="L717" s="132"/>
      <c r="M717" s="132"/>
      <c r="N717" s="132"/>
      <c r="O717" s="132"/>
      <c r="P717" s="132"/>
      <c r="Q717" s="132"/>
      <c r="R717" s="132"/>
      <c r="S717" s="132"/>
      <c r="T717" s="132"/>
      <c r="U717" s="132"/>
      <c r="V717" s="132"/>
      <c r="W717" s="132"/>
      <c r="X717" s="132"/>
      <c r="Y717" s="132"/>
      <c r="Z717" s="132"/>
      <c r="AA717" s="132"/>
      <c r="AB717" s="132"/>
      <c r="AC717" s="132"/>
      <c r="AD717" s="132"/>
      <c r="AE717" s="132"/>
      <c r="AF717" s="132"/>
      <c r="AG717" s="132"/>
      <c r="AH717" s="132"/>
      <c r="AI717" s="132"/>
      <c r="AJ717" s="132"/>
      <c r="AK717" s="132"/>
      <c r="AL717" s="132"/>
      <c r="AM717" s="132"/>
      <c r="AN717" s="132"/>
      <c r="AO717" s="132"/>
      <c r="AP717" s="132"/>
      <c r="AQ717" s="132"/>
      <c r="AR717" s="132"/>
      <c r="AS717" s="132"/>
      <c r="AT717" s="132"/>
      <c r="AU717" s="132"/>
      <c r="AV717" s="132"/>
      <c r="AW717" s="132"/>
      <c r="AX717" s="132"/>
      <c r="AY717" s="132"/>
      <c r="AZ717" s="132"/>
      <c r="BA717" s="132"/>
      <c r="BB717" s="132"/>
      <c r="BC717" s="132"/>
      <c r="BD717" s="132"/>
      <c r="BE717" s="132"/>
      <c r="BF717" s="132"/>
      <c r="BG717" s="132"/>
      <c r="BH717" s="132"/>
      <c r="BI717" s="132"/>
      <c r="BJ717" s="132"/>
      <c r="BK717" s="132"/>
      <c r="BL717" s="132"/>
      <c r="BM717" s="132"/>
      <c r="BN717" s="132"/>
      <c r="BO717" s="132"/>
      <c r="BP717" s="132"/>
      <c r="BQ717" s="132"/>
      <c r="BR717" s="132"/>
      <c r="BS717" s="132"/>
      <c r="BT717" s="132"/>
      <c r="BU717" s="132"/>
      <c r="BV717" s="132"/>
      <c r="BW717" s="132"/>
      <c r="BX717" s="132"/>
      <c r="BY717" s="132"/>
      <c r="BZ717" s="132"/>
      <c r="CA717" s="132"/>
      <c r="CB717" s="132"/>
      <c r="CC717" s="132"/>
      <c r="CD717" s="132"/>
      <c r="CE717" s="132"/>
      <c r="CF717" s="132"/>
      <c r="CG717" s="132"/>
      <c r="CH717" s="132"/>
      <c r="CI717" s="132"/>
      <c r="CJ717" s="132"/>
      <c r="CK717" s="132"/>
      <c r="CL717" s="132"/>
      <c r="CM717" s="132"/>
      <c r="CN717" s="132"/>
      <c r="CO717" s="132"/>
      <c r="CP717" s="132"/>
      <c r="CQ717" s="132"/>
      <c r="CR717" s="132"/>
      <c r="CS717" s="132"/>
      <c r="CT717" s="132"/>
      <c r="CU717" s="132"/>
      <c r="CV717" s="132"/>
      <c r="CW717" s="132"/>
      <c r="CX717" s="132"/>
      <c r="CY717" s="132"/>
      <c r="CZ717" s="132"/>
      <c r="DA717" s="132"/>
      <c r="DB717" s="132"/>
      <c r="DC717" s="132"/>
      <c r="DD717" s="132"/>
      <c r="DE717" s="132"/>
      <c r="DF717" s="132"/>
      <c r="DG717" s="132"/>
      <c r="DH717" s="132"/>
      <c r="DI717" s="132"/>
      <c r="DJ717" s="132"/>
      <c r="DK717" s="132"/>
      <c r="DL717" s="132"/>
      <c r="DM717" s="132"/>
      <c r="DN717" s="132"/>
      <c r="DO717" s="132"/>
      <c r="DP717" s="132"/>
      <c r="DQ717" s="132"/>
      <c r="DR717" s="132"/>
      <c r="DS717" s="132"/>
      <c r="DT717" s="132"/>
      <c r="DU717" s="132"/>
      <c r="DV717" s="132"/>
      <c r="DW717" s="132"/>
      <c r="DX717" s="132"/>
      <c r="DY717" s="132"/>
      <c r="DZ717" s="132"/>
      <c r="EA717" s="132"/>
      <c r="EB717" s="132"/>
      <c r="EC717" s="132"/>
      <c r="ED717" s="132"/>
      <c r="EE717" s="132"/>
      <c r="EF717" s="132"/>
      <c r="EG717" s="132"/>
      <c r="EH717" s="132"/>
      <c r="EI717" s="132"/>
      <c r="EJ717" s="132"/>
      <c r="EK717" s="132"/>
      <c r="EL717" s="132"/>
      <c r="EM717" s="132"/>
      <c r="EN717" s="132"/>
      <c r="EO717" s="132"/>
      <c r="EP717" s="132"/>
      <c r="EQ717" s="132"/>
      <c r="ER717" s="132"/>
      <c r="ES717" s="132"/>
      <c r="ET717" s="132"/>
      <c r="EU717" s="132"/>
      <c r="EV717" s="132"/>
      <c r="EW717" s="132"/>
      <c r="EX717" s="132"/>
      <c r="EY717" s="132"/>
      <c r="EZ717" s="132"/>
      <c r="FA717" s="132"/>
      <c r="FB717" s="132"/>
      <c r="FC717" s="132"/>
      <c r="FD717" s="132"/>
      <c r="FE717" s="132"/>
      <c r="FF717" s="132"/>
      <c r="FG717" s="132"/>
      <c r="FH717" s="132"/>
      <c r="FI717" s="132"/>
      <c r="FJ717" s="132"/>
      <c r="FK717" s="132"/>
      <c r="FL717" s="132"/>
      <c r="FM717" s="132"/>
      <c r="FN717" s="132"/>
      <c r="FO717" s="132"/>
      <c r="FP717" s="132"/>
      <c r="FQ717" s="132"/>
      <c r="FR717" s="132"/>
      <c r="FS717" s="132"/>
      <c r="FT717" s="132"/>
      <c r="FU717" s="132"/>
      <c r="FV717" s="132"/>
      <c r="FW717" s="132"/>
      <c r="FX717" s="132"/>
      <c r="FY717" s="132"/>
      <c r="FZ717" s="132"/>
      <c r="GA717" s="132"/>
      <c r="GB717" s="132"/>
      <c r="GC717" s="132"/>
      <c r="GD717" s="132"/>
      <c r="GE717" s="132"/>
      <c r="GF717" s="132"/>
      <c r="GG717" s="132"/>
      <c r="GH717" s="132"/>
      <c r="GI717" s="132"/>
      <c r="GJ717" s="132"/>
      <c r="GK717" s="132"/>
      <c r="GL717" s="132"/>
      <c r="GM717" s="132"/>
      <c r="GN717" s="132"/>
      <c r="GO717" s="132"/>
      <c r="GP717" s="132"/>
      <c r="GQ717" s="132"/>
      <c r="GR717" s="132"/>
      <c r="GS717" s="132"/>
      <c r="GT717" s="132"/>
      <c r="GU717" s="132"/>
      <c r="GV717" s="132"/>
      <c r="GW717" s="132"/>
      <c r="GX717" s="132"/>
      <c r="GY717" s="132"/>
      <c r="GZ717" s="132"/>
      <c r="HA717" s="132"/>
      <c r="HB717" s="132"/>
      <c r="HC717" s="132"/>
      <c r="HD717" s="132"/>
      <c r="HE717" s="132"/>
      <c r="HF717" s="132"/>
      <c r="HG717" s="132"/>
      <c r="HH717" s="132"/>
      <c r="HI717" s="132"/>
      <c r="HJ717" s="132"/>
      <c r="HK717" s="132"/>
      <c r="HL717" s="132"/>
      <c r="HM717" s="132"/>
      <c r="HN717" s="132"/>
      <c r="HO717" s="132"/>
      <c r="HP717" s="132"/>
      <c r="HQ717" s="132"/>
      <c r="HR717" s="132"/>
      <c r="HS717" s="132"/>
      <c r="HT717" s="132"/>
      <c r="HU717" s="132"/>
      <c r="HV717" s="132"/>
      <c r="HW717" s="132"/>
      <c r="HX717" s="132"/>
      <c r="HY717" s="132"/>
      <c r="HZ717" s="132"/>
      <c r="IA717" s="132"/>
      <c r="IB717" s="132"/>
      <c r="IC717" s="132"/>
      <c r="ID717" s="132"/>
      <c r="IE717" s="132"/>
      <c r="IF717" s="132"/>
      <c r="IG717" s="132"/>
      <c r="IH717" s="132"/>
      <c r="II717" s="132"/>
      <c r="IJ717" s="132"/>
      <c r="IK717" s="132"/>
      <c r="IL717" s="132"/>
      <c r="IM717" s="132"/>
      <c r="IN717" s="132"/>
      <c r="IO717" s="132"/>
      <c r="IP717" s="132"/>
      <c r="IQ717" s="132"/>
      <c r="IR717" s="132"/>
      <c r="IS717" s="132"/>
      <c r="IT717" s="132"/>
    </row>
    <row r="718" spans="1:256">
      <c r="A718" s="342"/>
      <c r="B718" s="146"/>
      <c r="C718" s="328">
        <v>3</v>
      </c>
      <c r="D718" s="329" t="s">
        <v>113</v>
      </c>
      <c r="E718" s="828"/>
      <c r="F718" s="911">
        <f>ROUND(ROUND(C718,2)*ROUND(E718,2),2)</f>
        <v>0</v>
      </c>
      <c r="G718" s="159"/>
      <c r="H718" s="132"/>
      <c r="I718" s="132"/>
      <c r="J718" s="132"/>
      <c r="K718" s="132"/>
      <c r="L718" s="132"/>
      <c r="M718" s="132"/>
      <c r="N718" s="132"/>
      <c r="O718" s="132"/>
      <c r="P718" s="132"/>
      <c r="Q718" s="132"/>
      <c r="R718" s="132"/>
      <c r="S718" s="132"/>
      <c r="T718" s="132"/>
      <c r="U718" s="132"/>
      <c r="V718" s="132"/>
      <c r="W718" s="132"/>
      <c r="X718" s="132"/>
      <c r="Y718" s="132"/>
      <c r="Z718" s="132"/>
      <c r="AA718" s="132"/>
      <c r="AB718" s="132"/>
      <c r="AC718" s="132"/>
      <c r="AD718" s="132"/>
      <c r="AE718" s="132"/>
      <c r="AF718" s="132"/>
      <c r="AG718" s="132"/>
      <c r="AH718" s="132"/>
      <c r="AI718" s="132"/>
      <c r="AJ718" s="132"/>
      <c r="AK718" s="132"/>
      <c r="AL718" s="132"/>
      <c r="AM718" s="132"/>
      <c r="AN718" s="132"/>
      <c r="AO718" s="132"/>
      <c r="AP718" s="132"/>
      <c r="AQ718" s="132"/>
      <c r="AR718" s="132"/>
      <c r="AS718" s="132"/>
      <c r="AT718" s="132"/>
      <c r="AU718" s="132"/>
      <c r="AV718" s="132"/>
      <c r="AW718" s="132"/>
      <c r="AX718" s="132"/>
      <c r="AY718" s="132"/>
      <c r="AZ718" s="132"/>
      <c r="BA718" s="132"/>
      <c r="BB718" s="132"/>
      <c r="BC718" s="132"/>
      <c r="BD718" s="132"/>
      <c r="BE718" s="132"/>
      <c r="BF718" s="132"/>
      <c r="BG718" s="132"/>
      <c r="BH718" s="132"/>
      <c r="BI718" s="132"/>
      <c r="BJ718" s="132"/>
      <c r="BK718" s="132"/>
      <c r="BL718" s="132"/>
      <c r="BM718" s="132"/>
      <c r="BN718" s="132"/>
      <c r="BO718" s="132"/>
      <c r="BP718" s="132"/>
      <c r="BQ718" s="132"/>
      <c r="BR718" s="132"/>
      <c r="BS718" s="132"/>
      <c r="BT718" s="132"/>
      <c r="BU718" s="132"/>
      <c r="BV718" s="132"/>
      <c r="BW718" s="132"/>
      <c r="BX718" s="132"/>
      <c r="BY718" s="132"/>
      <c r="BZ718" s="132"/>
      <c r="CA718" s="132"/>
      <c r="CB718" s="132"/>
      <c r="CC718" s="132"/>
      <c r="CD718" s="132"/>
      <c r="CE718" s="132"/>
      <c r="CF718" s="132"/>
      <c r="CG718" s="132"/>
      <c r="CH718" s="132"/>
      <c r="CI718" s="132"/>
      <c r="CJ718" s="132"/>
      <c r="CK718" s="132"/>
      <c r="CL718" s="132"/>
      <c r="CM718" s="132"/>
      <c r="CN718" s="132"/>
      <c r="CO718" s="132"/>
      <c r="CP718" s="132"/>
      <c r="CQ718" s="132"/>
      <c r="CR718" s="132"/>
      <c r="CS718" s="132"/>
      <c r="CT718" s="132"/>
      <c r="CU718" s="132"/>
      <c r="CV718" s="132"/>
      <c r="CW718" s="132"/>
      <c r="CX718" s="132"/>
      <c r="CY718" s="132"/>
      <c r="CZ718" s="132"/>
      <c r="DA718" s="132"/>
      <c r="DB718" s="132"/>
      <c r="DC718" s="132"/>
      <c r="DD718" s="132"/>
      <c r="DE718" s="132"/>
      <c r="DF718" s="132"/>
      <c r="DG718" s="132"/>
      <c r="DH718" s="132"/>
      <c r="DI718" s="132"/>
      <c r="DJ718" s="132"/>
      <c r="DK718" s="132"/>
      <c r="DL718" s="132"/>
      <c r="DM718" s="132"/>
      <c r="DN718" s="132"/>
      <c r="DO718" s="132"/>
      <c r="DP718" s="132"/>
      <c r="DQ718" s="132"/>
      <c r="DR718" s="132"/>
      <c r="DS718" s="132"/>
      <c r="DT718" s="132"/>
      <c r="DU718" s="132"/>
      <c r="DV718" s="132"/>
      <c r="DW718" s="132"/>
      <c r="DX718" s="132"/>
      <c r="DY718" s="132"/>
      <c r="DZ718" s="132"/>
      <c r="EA718" s="132"/>
      <c r="EB718" s="132"/>
      <c r="EC718" s="132"/>
      <c r="ED718" s="132"/>
      <c r="EE718" s="132"/>
      <c r="EF718" s="132"/>
      <c r="EG718" s="132"/>
      <c r="EH718" s="132"/>
      <c r="EI718" s="132"/>
      <c r="EJ718" s="132"/>
      <c r="EK718" s="132"/>
      <c r="EL718" s="132"/>
      <c r="EM718" s="132"/>
      <c r="EN718" s="132"/>
      <c r="EO718" s="132"/>
      <c r="EP718" s="132"/>
      <c r="EQ718" s="132"/>
      <c r="ER718" s="132"/>
      <c r="ES718" s="132"/>
      <c r="ET718" s="132"/>
      <c r="EU718" s="132"/>
      <c r="EV718" s="132"/>
      <c r="EW718" s="132"/>
      <c r="EX718" s="132"/>
      <c r="EY718" s="132"/>
      <c r="EZ718" s="132"/>
      <c r="FA718" s="132"/>
      <c r="FB718" s="132"/>
      <c r="FC718" s="132"/>
      <c r="FD718" s="132"/>
      <c r="FE718" s="132"/>
      <c r="FF718" s="132"/>
      <c r="FG718" s="132"/>
      <c r="FH718" s="132"/>
      <c r="FI718" s="132"/>
      <c r="FJ718" s="132"/>
      <c r="FK718" s="132"/>
      <c r="FL718" s="132"/>
      <c r="FM718" s="132"/>
      <c r="FN718" s="132"/>
      <c r="FO718" s="132"/>
      <c r="FP718" s="132"/>
      <c r="FQ718" s="132"/>
      <c r="FR718" s="132"/>
      <c r="FS718" s="132"/>
      <c r="FT718" s="132"/>
      <c r="FU718" s="132"/>
      <c r="FV718" s="132"/>
      <c r="FW718" s="132"/>
      <c r="FX718" s="132"/>
      <c r="FY718" s="132"/>
      <c r="FZ718" s="132"/>
      <c r="GA718" s="132"/>
      <c r="GB718" s="132"/>
      <c r="GC718" s="132"/>
      <c r="GD718" s="132"/>
      <c r="GE718" s="132"/>
      <c r="GF718" s="132"/>
      <c r="GG718" s="132"/>
      <c r="GH718" s="132"/>
      <c r="GI718" s="132"/>
      <c r="GJ718" s="132"/>
      <c r="GK718" s="132"/>
      <c r="GL718" s="132"/>
      <c r="GM718" s="132"/>
      <c r="GN718" s="132"/>
      <c r="GO718" s="132"/>
      <c r="GP718" s="132"/>
      <c r="GQ718" s="132"/>
      <c r="GR718" s="132"/>
      <c r="GS718" s="132"/>
      <c r="GT718" s="132"/>
      <c r="GU718" s="132"/>
      <c r="GV718" s="132"/>
      <c r="GW718" s="132"/>
      <c r="GX718" s="132"/>
      <c r="GY718" s="132"/>
      <c r="GZ718" s="132"/>
      <c r="HA718" s="132"/>
      <c r="HB718" s="132"/>
      <c r="HC718" s="132"/>
      <c r="HD718" s="132"/>
      <c r="HE718" s="132"/>
      <c r="HF718" s="132"/>
      <c r="HG718" s="132"/>
      <c r="HH718" s="132"/>
      <c r="HI718" s="132"/>
      <c r="HJ718" s="132"/>
      <c r="HK718" s="132"/>
      <c r="HL718" s="132"/>
      <c r="HM718" s="132"/>
      <c r="HN718" s="132"/>
      <c r="HO718" s="132"/>
      <c r="HP718" s="132"/>
      <c r="HQ718" s="132"/>
      <c r="HR718" s="132"/>
      <c r="HS718" s="132"/>
      <c r="HT718" s="132"/>
      <c r="HU718" s="132"/>
      <c r="HV718" s="132"/>
      <c r="HW718" s="132"/>
      <c r="HX718" s="132"/>
      <c r="HY718" s="132"/>
      <c r="HZ718" s="132"/>
      <c r="IA718" s="132"/>
      <c r="IB718" s="132"/>
      <c r="IC718" s="132"/>
      <c r="ID718" s="132"/>
      <c r="IE718" s="132"/>
      <c r="IF718" s="132"/>
      <c r="IG718" s="132"/>
      <c r="IH718" s="132"/>
      <c r="II718" s="132"/>
      <c r="IJ718" s="132"/>
      <c r="IK718" s="132"/>
      <c r="IL718" s="132"/>
      <c r="IM718" s="132"/>
      <c r="IN718" s="132"/>
      <c r="IO718" s="132"/>
      <c r="IP718" s="132"/>
      <c r="IQ718" s="132"/>
      <c r="IR718" s="132"/>
      <c r="IS718" s="132"/>
      <c r="IT718" s="132"/>
    </row>
    <row r="719" spans="1:256">
      <c r="A719" s="734"/>
      <c r="B719" s="146"/>
      <c r="C719" s="340"/>
      <c r="D719" s="329"/>
      <c r="E719" s="833"/>
      <c r="F719" s="911"/>
      <c r="G719" s="159"/>
      <c r="H719" s="132"/>
      <c r="I719" s="132"/>
      <c r="J719" s="132"/>
      <c r="K719" s="132"/>
      <c r="L719" s="132"/>
      <c r="M719" s="132"/>
      <c r="N719" s="132"/>
      <c r="O719" s="132"/>
      <c r="P719" s="132"/>
      <c r="Q719" s="132"/>
      <c r="R719" s="132"/>
      <c r="S719" s="132"/>
      <c r="T719" s="132"/>
      <c r="U719" s="132"/>
      <c r="V719" s="132"/>
      <c r="W719" s="132"/>
      <c r="X719" s="132"/>
      <c r="Y719" s="132"/>
      <c r="Z719" s="132"/>
      <c r="AA719" s="132"/>
      <c r="AB719" s="132"/>
      <c r="AC719" s="132"/>
      <c r="AD719" s="132"/>
      <c r="AE719" s="132"/>
      <c r="AF719" s="132"/>
      <c r="AG719" s="132"/>
      <c r="AH719" s="132"/>
      <c r="AI719" s="132"/>
      <c r="AJ719" s="132"/>
      <c r="AK719" s="132"/>
      <c r="AL719" s="132"/>
      <c r="AM719" s="132"/>
      <c r="AN719" s="132"/>
      <c r="AO719" s="132"/>
      <c r="AP719" s="132"/>
      <c r="AQ719" s="132"/>
      <c r="AR719" s="132"/>
      <c r="AS719" s="132"/>
      <c r="AT719" s="132"/>
      <c r="AU719" s="132"/>
      <c r="AV719" s="132"/>
      <c r="AW719" s="132"/>
      <c r="AX719" s="132"/>
      <c r="AY719" s="132"/>
      <c r="AZ719" s="132"/>
      <c r="BA719" s="132"/>
      <c r="BB719" s="132"/>
      <c r="BC719" s="132"/>
      <c r="BD719" s="132"/>
      <c r="BE719" s="132"/>
      <c r="BF719" s="132"/>
      <c r="BG719" s="132"/>
      <c r="BH719" s="132"/>
      <c r="BI719" s="132"/>
      <c r="BJ719" s="132"/>
      <c r="BK719" s="132"/>
      <c r="BL719" s="132"/>
      <c r="BM719" s="132"/>
      <c r="BN719" s="132"/>
      <c r="BO719" s="132"/>
      <c r="BP719" s="132"/>
      <c r="BQ719" s="132"/>
      <c r="BR719" s="132"/>
      <c r="BS719" s="132"/>
      <c r="BT719" s="132"/>
      <c r="BU719" s="132"/>
      <c r="BV719" s="132"/>
      <c r="BW719" s="132"/>
      <c r="BX719" s="132"/>
      <c r="BY719" s="132"/>
      <c r="BZ719" s="132"/>
      <c r="CA719" s="132"/>
      <c r="CB719" s="132"/>
      <c r="CC719" s="132"/>
      <c r="CD719" s="132"/>
      <c r="CE719" s="132"/>
      <c r="CF719" s="132"/>
      <c r="CG719" s="132"/>
      <c r="CH719" s="132"/>
      <c r="CI719" s="132"/>
      <c r="CJ719" s="132"/>
      <c r="CK719" s="132"/>
      <c r="CL719" s="132"/>
      <c r="CM719" s="132"/>
      <c r="CN719" s="132"/>
      <c r="CO719" s="132"/>
      <c r="CP719" s="132"/>
      <c r="CQ719" s="132"/>
      <c r="CR719" s="132"/>
      <c r="CS719" s="132"/>
      <c r="CT719" s="132"/>
      <c r="CU719" s="132"/>
      <c r="CV719" s="132"/>
      <c r="CW719" s="132"/>
      <c r="CX719" s="132"/>
      <c r="CY719" s="132"/>
      <c r="CZ719" s="132"/>
      <c r="DA719" s="132"/>
      <c r="DB719" s="132"/>
      <c r="DC719" s="132"/>
      <c r="DD719" s="132"/>
      <c r="DE719" s="132"/>
      <c r="DF719" s="132"/>
      <c r="DG719" s="132"/>
      <c r="DH719" s="132"/>
      <c r="DI719" s="132"/>
      <c r="DJ719" s="132"/>
      <c r="DK719" s="132"/>
      <c r="DL719" s="132"/>
      <c r="DM719" s="132"/>
      <c r="DN719" s="132"/>
      <c r="DO719" s="132"/>
      <c r="DP719" s="132"/>
      <c r="DQ719" s="132"/>
      <c r="DR719" s="132"/>
      <c r="DS719" s="132"/>
      <c r="DT719" s="132"/>
      <c r="DU719" s="132"/>
      <c r="DV719" s="132"/>
      <c r="DW719" s="132"/>
      <c r="DX719" s="132"/>
      <c r="DY719" s="132"/>
      <c r="DZ719" s="132"/>
      <c r="EA719" s="132"/>
      <c r="EB719" s="132"/>
      <c r="EC719" s="132"/>
      <c r="ED719" s="132"/>
      <c r="EE719" s="132"/>
      <c r="EF719" s="132"/>
      <c r="EG719" s="132"/>
      <c r="EH719" s="132"/>
      <c r="EI719" s="132"/>
      <c r="EJ719" s="132"/>
      <c r="EK719" s="132"/>
      <c r="EL719" s="132"/>
      <c r="EM719" s="132"/>
      <c r="EN719" s="132"/>
      <c r="EO719" s="132"/>
      <c r="EP719" s="132"/>
      <c r="EQ719" s="132"/>
      <c r="ER719" s="132"/>
      <c r="ES719" s="132"/>
      <c r="ET719" s="132"/>
      <c r="EU719" s="132"/>
      <c r="EV719" s="132"/>
      <c r="EW719" s="132"/>
      <c r="EX719" s="132"/>
      <c r="EY719" s="132"/>
      <c r="EZ719" s="132"/>
      <c r="FA719" s="132"/>
      <c r="FB719" s="132"/>
      <c r="FC719" s="132"/>
      <c r="FD719" s="132"/>
      <c r="FE719" s="132"/>
      <c r="FF719" s="132"/>
      <c r="FG719" s="132"/>
      <c r="FH719" s="132"/>
      <c r="FI719" s="132"/>
      <c r="FJ719" s="132"/>
      <c r="FK719" s="132"/>
      <c r="FL719" s="132"/>
      <c r="FM719" s="132"/>
      <c r="FN719" s="132"/>
      <c r="FO719" s="132"/>
      <c r="FP719" s="132"/>
      <c r="FQ719" s="132"/>
      <c r="FR719" s="132"/>
      <c r="FS719" s="132"/>
      <c r="FT719" s="132"/>
      <c r="FU719" s="132"/>
      <c r="FV719" s="132"/>
      <c r="FW719" s="132"/>
      <c r="FX719" s="132"/>
      <c r="FY719" s="132"/>
      <c r="FZ719" s="132"/>
      <c r="GA719" s="132"/>
      <c r="GB719" s="132"/>
      <c r="GC719" s="132"/>
      <c r="GD719" s="132"/>
      <c r="GE719" s="132"/>
      <c r="GF719" s="132"/>
      <c r="GG719" s="132"/>
      <c r="GH719" s="132"/>
      <c r="GI719" s="132"/>
      <c r="GJ719" s="132"/>
      <c r="GK719" s="132"/>
      <c r="GL719" s="132"/>
      <c r="GM719" s="132"/>
      <c r="GN719" s="132"/>
      <c r="GO719" s="132"/>
      <c r="GP719" s="132"/>
      <c r="GQ719" s="132"/>
      <c r="GR719" s="132"/>
      <c r="GS719" s="132"/>
      <c r="GT719" s="132"/>
      <c r="GU719" s="132"/>
      <c r="GV719" s="132"/>
      <c r="GW719" s="132"/>
      <c r="GX719" s="132"/>
      <c r="GY719" s="132"/>
      <c r="GZ719" s="132"/>
      <c r="HA719" s="132"/>
      <c r="HB719" s="132"/>
      <c r="HC719" s="132"/>
      <c r="HD719" s="132"/>
      <c r="HE719" s="132"/>
      <c r="HF719" s="132"/>
      <c r="HG719" s="132"/>
      <c r="HH719" s="132"/>
      <c r="HI719" s="132"/>
      <c r="HJ719" s="132"/>
      <c r="HK719" s="132"/>
      <c r="HL719" s="132"/>
      <c r="HM719" s="132"/>
      <c r="HN719" s="132"/>
      <c r="HO719" s="132"/>
      <c r="HP719" s="132"/>
      <c r="HQ719" s="132"/>
      <c r="HR719" s="132"/>
      <c r="HS719" s="132"/>
      <c r="HT719" s="132"/>
      <c r="HU719" s="132"/>
      <c r="HV719" s="132"/>
      <c r="HW719" s="132"/>
      <c r="HX719" s="132"/>
      <c r="HY719" s="132"/>
      <c r="HZ719" s="132"/>
      <c r="IA719" s="132"/>
      <c r="IB719" s="132"/>
      <c r="IC719" s="132"/>
      <c r="ID719" s="132"/>
      <c r="IE719" s="132"/>
      <c r="IF719" s="132"/>
      <c r="IG719" s="132"/>
      <c r="IH719" s="132"/>
      <c r="II719" s="132"/>
      <c r="IJ719" s="132"/>
      <c r="IK719" s="132"/>
      <c r="IL719" s="132"/>
      <c r="IM719" s="132"/>
      <c r="IN719" s="132"/>
      <c r="IO719" s="132"/>
      <c r="IP719" s="132"/>
      <c r="IQ719" s="132"/>
      <c r="IR719" s="132"/>
      <c r="IS719" s="132"/>
      <c r="IT719" s="132"/>
    </row>
    <row r="720" spans="1:256" ht="38.25">
      <c r="A720" s="342"/>
      <c r="B720" s="146" t="s">
        <v>388</v>
      </c>
      <c r="C720" s="340"/>
      <c r="D720" s="329"/>
      <c r="F720" s="911"/>
      <c r="G720" s="159"/>
      <c r="H720" s="132"/>
      <c r="I720" s="132"/>
      <c r="J720" s="132"/>
      <c r="K720" s="132"/>
      <c r="L720" s="132"/>
      <c r="M720" s="132"/>
      <c r="N720" s="132"/>
      <c r="O720" s="132"/>
      <c r="P720" s="132"/>
      <c r="Q720" s="132"/>
      <c r="R720" s="132"/>
      <c r="S720" s="132"/>
      <c r="T720" s="132"/>
      <c r="U720" s="132"/>
      <c r="V720" s="132"/>
      <c r="W720" s="132"/>
      <c r="X720" s="132"/>
      <c r="Y720" s="132"/>
      <c r="Z720" s="132"/>
      <c r="AA720" s="132"/>
      <c r="AB720" s="132"/>
      <c r="AC720" s="132"/>
      <c r="AD720" s="132"/>
      <c r="AE720" s="132"/>
      <c r="AF720" s="132"/>
      <c r="AG720" s="132"/>
      <c r="AH720" s="132"/>
      <c r="AI720" s="132"/>
      <c r="AJ720" s="132"/>
      <c r="AK720" s="132"/>
      <c r="AL720" s="132"/>
      <c r="AM720" s="132"/>
      <c r="AN720" s="132"/>
      <c r="AO720" s="132"/>
      <c r="AP720" s="132"/>
      <c r="AQ720" s="132"/>
      <c r="AR720" s="132"/>
      <c r="AS720" s="132"/>
      <c r="AT720" s="132"/>
      <c r="AU720" s="132"/>
      <c r="AV720" s="132"/>
      <c r="AW720" s="132"/>
      <c r="AX720" s="132"/>
      <c r="AY720" s="132"/>
      <c r="AZ720" s="132"/>
      <c r="BA720" s="132"/>
      <c r="BB720" s="132"/>
      <c r="BC720" s="132"/>
      <c r="BD720" s="132"/>
      <c r="BE720" s="132"/>
      <c r="BF720" s="132"/>
      <c r="BG720" s="132"/>
      <c r="BH720" s="132"/>
      <c r="BI720" s="132"/>
      <c r="BJ720" s="132"/>
      <c r="BK720" s="132"/>
      <c r="BL720" s="132"/>
      <c r="BM720" s="132"/>
      <c r="BN720" s="132"/>
      <c r="BO720" s="132"/>
      <c r="BP720" s="132"/>
      <c r="BQ720" s="132"/>
      <c r="BR720" s="132"/>
      <c r="BS720" s="132"/>
      <c r="BT720" s="132"/>
      <c r="BU720" s="132"/>
      <c r="BV720" s="132"/>
      <c r="BW720" s="132"/>
      <c r="BX720" s="132"/>
      <c r="BY720" s="132"/>
      <c r="BZ720" s="132"/>
      <c r="CA720" s="132"/>
      <c r="CB720" s="132"/>
      <c r="CC720" s="132"/>
      <c r="CD720" s="132"/>
      <c r="CE720" s="132"/>
      <c r="CF720" s="132"/>
      <c r="CG720" s="132"/>
      <c r="CH720" s="132"/>
      <c r="CI720" s="132"/>
      <c r="CJ720" s="132"/>
      <c r="CK720" s="132"/>
      <c r="CL720" s="132"/>
      <c r="CM720" s="132"/>
      <c r="CN720" s="132"/>
      <c r="CO720" s="132"/>
      <c r="CP720" s="132"/>
      <c r="CQ720" s="132"/>
      <c r="CR720" s="132"/>
      <c r="CS720" s="132"/>
      <c r="CT720" s="132"/>
      <c r="CU720" s="132"/>
      <c r="CV720" s="132"/>
      <c r="CW720" s="132"/>
      <c r="CX720" s="132"/>
      <c r="CY720" s="132"/>
      <c r="CZ720" s="132"/>
      <c r="DA720" s="132"/>
      <c r="DB720" s="132"/>
      <c r="DC720" s="132"/>
      <c r="DD720" s="132"/>
      <c r="DE720" s="132"/>
      <c r="DF720" s="132"/>
      <c r="DG720" s="132"/>
      <c r="DH720" s="132"/>
      <c r="DI720" s="132"/>
      <c r="DJ720" s="132"/>
      <c r="DK720" s="132"/>
      <c r="DL720" s="132"/>
      <c r="DM720" s="132"/>
      <c r="DN720" s="132"/>
      <c r="DO720" s="132"/>
      <c r="DP720" s="132"/>
      <c r="DQ720" s="132"/>
      <c r="DR720" s="132"/>
      <c r="DS720" s="132"/>
      <c r="DT720" s="132"/>
      <c r="DU720" s="132"/>
      <c r="DV720" s="132"/>
      <c r="DW720" s="132"/>
      <c r="DX720" s="132"/>
      <c r="DY720" s="132"/>
      <c r="DZ720" s="132"/>
      <c r="EA720" s="132"/>
      <c r="EB720" s="132"/>
      <c r="EC720" s="132"/>
      <c r="ED720" s="132"/>
      <c r="EE720" s="132"/>
      <c r="EF720" s="132"/>
      <c r="EG720" s="132"/>
      <c r="EH720" s="132"/>
      <c r="EI720" s="132"/>
      <c r="EJ720" s="132"/>
      <c r="EK720" s="132"/>
      <c r="EL720" s="132"/>
      <c r="EM720" s="132"/>
      <c r="EN720" s="132"/>
      <c r="EO720" s="132"/>
      <c r="EP720" s="132"/>
      <c r="EQ720" s="132"/>
      <c r="ER720" s="132"/>
      <c r="ES720" s="132"/>
      <c r="ET720" s="132"/>
      <c r="EU720" s="132"/>
      <c r="EV720" s="132"/>
      <c r="EW720" s="132"/>
      <c r="EX720" s="132"/>
      <c r="EY720" s="132"/>
      <c r="EZ720" s="132"/>
      <c r="FA720" s="132"/>
      <c r="FB720" s="132"/>
      <c r="FC720" s="132"/>
      <c r="FD720" s="132"/>
      <c r="FE720" s="132"/>
      <c r="FF720" s="132"/>
      <c r="FG720" s="132"/>
      <c r="FH720" s="132"/>
      <c r="FI720" s="132"/>
      <c r="FJ720" s="132"/>
      <c r="FK720" s="132"/>
      <c r="FL720" s="132"/>
      <c r="FM720" s="132"/>
      <c r="FN720" s="132"/>
      <c r="FO720" s="132"/>
      <c r="FP720" s="132"/>
      <c r="FQ720" s="132"/>
      <c r="FR720" s="132"/>
      <c r="FS720" s="132"/>
      <c r="FT720" s="132"/>
      <c r="FU720" s="132"/>
      <c r="FV720" s="132"/>
      <c r="FW720" s="132"/>
      <c r="FX720" s="132"/>
      <c r="FY720" s="132"/>
      <c r="FZ720" s="132"/>
      <c r="GA720" s="132"/>
      <c r="GB720" s="132"/>
      <c r="GC720" s="132"/>
      <c r="GD720" s="132"/>
      <c r="GE720" s="132"/>
      <c r="GF720" s="132"/>
      <c r="GG720" s="132"/>
      <c r="GH720" s="132"/>
      <c r="GI720" s="132"/>
      <c r="GJ720" s="132"/>
      <c r="GK720" s="132"/>
      <c r="GL720" s="132"/>
      <c r="GM720" s="132"/>
      <c r="GN720" s="132"/>
      <c r="GO720" s="132"/>
      <c r="GP720" s="132"/>
      <c r="GQ720" s="132"/>
      <c r="GR720" s="132"/>
      <c r="GS720" s="132"/>
      <c r="GT720" s="132"/>
      <c r="GU720" s="132"/>
      <c r="GV720" s="132"/>
      <c r="GW720" s="132"/>
      <c r="GX720" s="132"/>
      <c r="GY720" s="132"/>
      <c r="GZ720" s="132"/>
      <c r="HA720" s="132"/>
      <c r="HB720" s="132"/>
      <c r="HC720" s="132"/>
      <c r="HD720" s="132"/>
      <c r="HE720" s="132"/>
      <c r="HF720" s="132"/>
      <c r="HG720" s="132"/>
      <c r="HH720" s="132"/>
      <c r="HI720" s="132"/>
      <c r="HJ720" s="132"/>
      <c r="HK720" s="132"/>
      <c r="HL720" s="132"/>
      <c r="HM720" s="132"/>
      <c r="HN720" s="132"/>
      <c r="HO720" s="132"/>
      <c r="HP720" s="132"/>
      <c r="HQ720" s="132"/>
      <c r="HR720" s="132"/>
      <c r="HS720" s="132"/>
      <c r="HT720" s="132"/>
      <c r="HU720" s="132"/>
      <c r="HV720" s="132"/>
      <c r="HW720" s="132"/>
      <c r="HX720" s="132"/>
      <c r="HY720" s="132"/>
      <c r="HZ720" s="132"/>
      <c r="IA720" s="132"/>
      <c r="IB720" s="132"/>
      <c r="IC720" s="132"/>
      <c r="ID720" s="132"/>
      <c r="IE720" s="132"/>
      <c r="IF720" s="132"/>
      <c r="IG720" s="132"/>
      <c r="IH720" s="132"/>
      <c r="II720" s="132"/>
      <c r="IJ720" s="132"/>
      <c r="IK720" s="132"/>
      <c r="IL720" s="132"/>
      <c r="IM720" s="132"/>
      <c r="IN720" s="132"/>
      <c r="IO720" s="132"/>
      <c r="IP720" s="132"/>
      <c r="IQ720" s="132"/>
      <c r="IR720" s="132"/>
      <c r="IS720" s="132"/>
      <c r="IT720" s="132"/>
    </row>
    <row r="721" spans="1:256">
      <c r="A721" s="734" t="s">
        <v>387</v>
      </c>
      <c r="B721" s="146" t="s">
        <v>386</v>
      </c>
      <c r="C721" s="328">
        <v>1</v>
      </c>
      <c r="D721" s="329" t="s">
        <v>113</v>
      </c>
      <c r="E721" s="838"/>
      <c r="F721" s="911">
        <f t="shared" ref="F721:F731" si="20">ROUND(ROUND(C721,2)*ROUND(E721,2),2)</f>
        <v>0</v>
      </c>
      <c r="G721" s="159"/>
      <c r="H721" s="132"/>
      <c r="I721" s="132"/>
      <c r="J721" s="132"/>
      <c r="K721" s="132"/>
      <c r="L721" s="132"/>
      <c r="M721" s="132"/>
      <c r="N721" s="132"/>
      <c r="O721" s="132"/>
      <c r="P721" s="132"/>
      <c r="Q721" s="132"/>
      <c r="R721" s="132"/>
      <c r="S721" s="132"/>
      <c r="T721" s="132"/>
      <c r="U721" s="132"/>
      <c r="V721" s="132"/>
      <c r="W721" s="132"/>
      <c r="X721" s="132"/>
      <c r="Y721" s="132"/>
      <c r="Z721" s="132"/>
      <c r="AA721" s="132"/>
      <c r="AB721" s="132"/>
      <c r="AC721" s="132"/>
      <c r="AD721" s="132"/>
      <c r="AE721" s="132"/>
      <c r="AF721" s="132"/>
      <c r="AG721" s="132"/>
      <c r="AH721" s="132"/>
      <c r="AI721" s="132"/>
      <c r="AJ721" s="132"/>
      <c r="AK721" s="132"/>
      <c r="AL721" s="132"/>
      <c r="AM721" s="132"/>
      <c r="AN721" s="132"/>
      <c r="AO721" s="132"/>
      <c r="AP721" s="132"/>
      <c r="AQ721" s="132"/>
      <c r="AR721" s="132"/>
      <c r="AS721" s="132"/>
      <c r="AT721" s="132"/>
      <c r="AU721" s="132"/>
      <c r="AV721" s="132"/>
      <c r="AW721" s="132"/>
      <c r="AX721" s="132"/>
      <c r="AY721" s="132"/>
      <c r="AZ721" s="132"/>
      <c r="BA721" s="132"/>
      <c r="BB721" s="132"/>
      <c r="BC721" s="132"/>
      <c r="BD721" s="132"/>
      <c r="BE721" s="132"/>
      <c r="BF721" s="132"/>
      <c r="BG721" s="132"/>
      <c r="BH721" s="132"/>
      <c r="BI721" s="132"/>
      <c r="BJ721" s="132"/>
      <c r="BK721" s="132"/>
      <c r="BL721" s="132"/>
      <c r="BM721" s="132"/>
      <c r="BN721" s="132"/>
      <c r="BO721" s="132"/>
      <c r="BP721" s="132"/>
      <c r="BQ721" s="132"/>
      <c r="BR721" s="132"/>
      <c r="BS721" s="132"/>
      <c r="BT721" s="132"/>
      <c r="BU721" s="132"/>
      <c r="BV721" s="132"/>
      <c r="BW721" s="132"/>
      <c r="BX721" s="132"/>
      <c r="BY721" s="132"/>
      <c r="BZ721" s="132"/>
      <c r="CA721" s="132"/>
      <c r="CB721" s="132"/>
      <c r="CC721" s="132"/>
      <c r="CD721" s="132"/>
      <c r="CE721" s="132"/>
      <c r="CF721" s="132"/>
      <c r="CG721" s="132"/>
      <c r="CH721" s="132"/>
      <c r="CI721" s="132"/>
      <c r="CJ721" s="132"/>
      <c r="CK721" s="132"/>
      <c r="CL721" s="132"/>
      <c r="CM721" s="132"/>
      <c r="CN721" s="132"/>
      <c r="CO721" s="132"/>
      <c r="CP721" s="132"/>
      <c r="CQ721" s="132"/>
      <c r="CR721" s="132"/>
      <c r="CS721" s="132"/>
      <c r="CT721" s="132"/>
      <c r="CU721" s="132"/>
      <c r="CV721" s="132"/>
      <c r="CW721" s="132"/>
      <c r="CX721" s="132"/>
      <c r="CY721" s="132"/>
      <c r="CZ721" s="132"/>
      <c r="DA721" s="132"/>
      <c r="DB721" s="132"/>
      <c r="DC721" s="132"/>
      <c r="DD721" s="132"/>
      <c r="DE721" s="132"/>
      <c r="DF721" s="132"/>
      <c r="DG721" s="132"/>
      <c r="DH721" s="132"/>
      <c r="DI721" s="132"/>
      <c r="DJ721" s="132"/>
      <c r="DK721" s="132"/>
      <c r="DL721" s="132"/>
      <c r="DM721" s="132"/>
      <c r="DN721" s="132"/>
      <c r="DO721" s="132"/>
      <c r="DP721" s="132"/>
      <c r="DQ721" s="132"/>
      <c r="DR721" s="132"/>
      <c r="DS721" s="132"/>
      <c r="DT721" s="132"/>
      <c r="DU721" s="132"/>
      <c r="DV721" s="132"/>
      <c r="DW721" s="132"/>
      <c r="DX721" s="132"/>
      <c r="DY721" s="132"/>
      <c r="DZ721" s="132"/>
      <c r="EA721" s="132"/>
      <c r="EB721" s="132"/>
      <c r="EC721" s="132"/>
      <c r="ED721" s="132"/>
      <c r="EE721" s="132"/>
      <c r="EF721" s="132"/>
      <c r="EG721" s="132"/>
      <c r="EH721" s="132"/>
      <c r="EI721" s="132"/>
      <c r="EJ721" s="132"/>
      <c r="EK721" s="132"/>
      <c r="EL721" s="132"/>
      <c r="EM721" s="132"/>
      <c r="EN721" s="132"/>
      <c r="EO721" s="132"/>
      <c r="EP721" s="132"/>
      <c r="EQ721" s="132"/>
      <c r="ER721" s="132"/>
      <c r="ES721" s="132"/>
      <c r="ET721" s="132"/>
      <c r="EU721" s="132"/>
      <c r="EV721" s="132"/>
      <c r="EW721" s="132"/>
      <c r="EX721" s="132"/>
      <c r="EY721" s="132"/>
      <c r="EZ721" s="132"/>
      <c r="FA721" s="132"/>
      <c r="FB721" s="132"/>
      <c r="FC721" s="132"/>
      <c r="FD721" s="132"/>
      <c r="FE721" s="132"/>
      <c r="FF721" s="132"/>
      <c r="FG721" s="132"/>
      <c r="FH721" s="132"/>
      <c r="FI721" s="132"/>
      <c r="FJ721" s="132"/>
      <c r="FK721" s="132"/>
      <c r="FL721" s="132"/>
      <c r="FM721" s="132"/>
      <c r="FN721" s="132"/>
      <c r="FO721" s="132"/>
      <c r="FP721" s="132"/>
      <c r="FQ721" s="132"/>
      <c r="FR721" s="132"/>
      <c r="FS721" s="132"/>
      <c r="FT721" s="132"/>
      <c r="FU721" s="132"/>
      <c r="FV721" s="132"/>
      <c r="FW721" s="132"/>
      <c r="FX721" s="132"/>
      <c r="FY721" s="132"/>
      <c r="FZ721" s="132"/>
      <c r="GA721" s="132"/>
      <c r="GB721" s="132"/>
      <c r="GC721" s="132"/>
      <c r="GD721" s="132"/>
      <c r="GE721" s="132"/>
      <c r="GF721" s="132"/>
      <c r="GG721" s="132"/>
      <c r="GH721" s="132"/>
      <c r="GI721" s="132"/>
      <c r="GJ721" s="132"/>
      <c r="GK721" s="132"/>
      <c r="GL721" s="132"/>
      <c r="GM721" s="132"/>
      <c r="GN721" s="132"/>
      <c r="GO721" s="132"/>
      <c r="GP721" s="132"/>
      <c r="GQ721" s="132"/>
      <c r="GR721" s="132"/>
      <c r="GS721" s="132"/>
      <c r="GT721" s="132"/>
      <c r="GU721" s="132"/>
      <c r="GV721" s="132"/>
      <c r="GW721" s="132"/>
      <c r="GX721" s="132"/>
      <c r="GY721" s="132"/>
      <c r="GZ721" s="132"/>
      <c r="HA721" s="132"/>
      <c r="HB721" s="132"/>
      <c r="HC721" s="132"/>
      <c r="HD721" s="132"/>
      <c r="HE721" s="132"/>
      <c r="HF721" s="132"/>
      <c r="HG721" s="132"/>
      <c r="HH721" s="132"/>
      <c r="HI721" s="132"/>
      <c r="HJ721" s="132"/>
      <c r="HK721" s="132"/>
      <c r="HL721" s="132"/>
      <c r="HM721" s="132"/>
      <c r="HN721" s="132"/>
      <c r="HO721" s="132"/>
      <c r="HP721" s="132"/>
      <c r="HQ721" s="132"/>
      <c r="HR721" s="132"/>
      <c r="HS721" s="132"/>
      <c r="HT721" s="132"/>
      <c r="HU721" s="132"/>
      <c r="HV721" s="132"/>
      <c r="HW721" s="132"/>
      <c r="HX721" s="132"/>
      <c r="HY721" s="132"/>
      <c r="HZ721" s="132"/>
      <c r="IA721" s="132"/>
      <c r="IB721" s="132"/>
      <c r="IC721" s="132"/>
      <c r="ID721" s="132"/>
      <c r="IE721" s="132"/>
      <c r="IF721" s="132"/>
      <c r="IG721" s="132"/>
      <c r="IH721" s="132"/>
      <c r="II721" s="132"/>
      <c r="IJ721" s="132"/>
      <c r="IK721" s="132"/>
      <c r="IL721" s="132"/>
      <c r="IM721" s="132"/>
      <c r="IN721" s="132"/>
      <c r="IO721" s="132"/>
      <c r="IP721" s="132"/>
      <c r="IQ721" s="132"/>
      <c r="IR721" s="132"/>
      <c r="IS721" s="132"/>
      <c r="IT721" s="132"/>
    </row>
    <row r="722" spans="1:256">
      <c r="A722" s="734" t="s">
        <v>385</v>
      </c>
      <c r="B722" s="146" t="s">
        <v>384</v>
      </c>
      <c r="C722" s="328">
        <v>1</v>
      </c>
      <c r="D722" s="329" t="s">
        <v>113</v>
      </c>
      <c r="E722" s="838"/>
      <c r="F722" s="911">
        <f t="shared" si="20"/>
        <v>0</v>
      </c>
      <c r="G722" s="159"/>
      <c r="H722" s="132"/>
      <c r="I722" s="132"/>
      <c r="J722" s="132"/>
      <c r="K722" s="132"/>
      <c r="L722" s="132"/>
      <c r="M722" s="132"/>
      <c r="N722" s="132"/>
      <c r="O722" s="132"/>
      <c r="P722" s="132"/>
      <c r="Q722" s="132"/>
      <c r="R722" s="132"/>
      <c r="S722" s="132"/>
      <c r="T722" s="132"/>
      <c r="U722" s="132"/>
      <c r="V722" s="132"/>
      <c r="W722" s="132"/>
      <c r="X722" s="132"/>
      <c r="Y722" s="132"/>
      <c r="Z722" s="132"/>
      <c r="AA722" s="132"/>
      <c r="AB722" s="132"/>
      <c r="AC722" s="132"/>
      <c r="AD722" s="132"/>
      <c r="AE722" s="132"/>
      <c r="AF722" s="132"/>
      <c r="AG722" s="132"/>
      <c r="AH722" s="132"/>
      <c r="AI722" s="132"/>
      <c r="AJ722" s="132"/>
      <c r="AK722" s="132"/>
      <c r="AL722" s="132"/>
      <c r="AM722" s="132"/>
      <c r="AN722" s="132"/>
      <c r="AO722" s="132"/>
      <c r="AP722" s="132"/>
      <c r="AQ722" s="132"/>
      <c r="AR722" s="132"/>
      <c r="AS722" s="132"/>
      <c r="AT722" s="132"/>
      <c r="AU722" s="132"/>
      <c r="AV722" s="132"/>
      <c r="AW722" s="132"/>
      <c r="AX722" s="132"/>
      <c r="AY722" s="132"/>
      <c r="AZ722" s="132"/>
      <c r="BA722" s="132"/>
      <c r="BB722" s="132"/>
      <c r="BC722" s="132"/>
      <c r="BD722" s="132"/>
      <c r="BE722" s="132"/>
      <c r="BF722" s="132"/>
      <c r="BG722" s="132"/>
      <c r="BH722" s="132"/>
      <c r="BI722" s="132"/>
      <c r="BJ722" s="132"/>
      <c r="BK722" s="132"/>
      <c r="BL722" s="132"/>
      <c r="BM722" s="132"/>
      <c r="BN722" s="132"/>
      <c r="BO722" s="132"/>
      <c r="BP722" s="132"/>
      <c r="BQ722" s="132"/>
      <c r="BR722" s="132"/>
      <c r="BS722" s="132"/>
      <c r="BT722" s="132"/>
      <c r="BU722" s="132"/>
      <c r="BV722" s="132"/>
      <c r="BW722" s="132"/>
      <c r="BX722" s="132"/>
      <c r="BY722" s="132"/>
      <c r="BZ722" s="132"/>
      <c r="CA722" s="132"/>
      <c r="CB722" s="132"/>
      <c r="CC722" s="132"/>
      <c r="CD722" s="132"/>
      <c r="CE722" s="132"/>
      <c r="CF722" s="132"/>
      <c r="CG722" s="132"/>
      <c r="CH722" s="132"/>
      <c r="CI722" s="132"/>
      <c r="CJ722" s="132"/>
      <c r="CK722" s="132"/>
      <c r="CL722" s="132"/>
      <c r="CM722" s="132"/>
      <c r="CN722" s="132"/>
      <c r="CO722" s="132"/>
      <c r="CP722" s="132"/>
      <c r="CQ722" s="132"/>
      <c r="CR722" s="132"/>
      <c r="CS722" s="132"/>
      <c r="CT722" s="132"/>
      <c r="CU722" s="132"/>
      <c r="CV722" s="132"/>
      <c r="CW722" s="132"/>
      <c r="CX722" s="132"/>
      <c r="CY722" s="132"/>
      <c r="CZ722" s="132"/>
      <c r="DA722" s="132"/>
      <c r="DB722" s="132"/>
      <c r="DC722" s="132"/>
      <c r="DD722" s="132"/>
      <c r="DE722" s="132"/>
      <c r="DF722" s="132"/>
      <c r="DG722" s="132"/>
      <c r="DH722" s="132"/>
      <c r="DI722" s="132"/>
      <c r="DJ722" s="132"/>
      <c r="DK722" s="132"/>
      <c r="DL722" s="132"/>
      <c r="DM722" s="132"/>
      <c r="DN722" s="132"/>
      <c r="DO722" s="132"/>
      <c r="DP722" s="132"/>
      <c r="DQ722" s="132"/>
      <c r="DR722" s="132"/>
      <c r="DS722" s="132"/>
      <c r="DT722" s="132"/>
      <c r="DU722" s="132"/>
      <c r="DV722" s="132"/>
      <c r="DW722" s="132"/>
      <c r="DX722" s="132"/>
      <c r="DY722" s="132"/>
      <c r="DZ722" s="132"/>
      <c r="EA722" s="132"/>
      <c r="EB722" s="132"/>
      <c r="EC722" s="132"/>
      <c r="ED722" s="132"/>
      <c r="EE722" s="132"/>
      <c r="EF722" s="132"/>
      <c r="EG722" s="132"/>
      <c r="EH722" s="132"/>
      <c r="EI722" s="132"/>
      <c r="EJ722" s="132"/>
      <c r="EK722" s="132"/>
      <c r="EL722" s="132"/>
      <c r="EM722" s="132"/>
      <c r="EN722" s="132"/>
      <c r="EO722" s="132"/>
      <c r="EP722" s="132"/>
      <c r="EQ722" s="132"/>
      <c r="ER722" s="132"/>
      <c r="ES722" s="132"/>
      <c r="ET722" s="132"/>
      <c r="EU722" s="132"/>
      <c r="EV722" s="132"/>
      <c r="EW722" s="132"/>
      <c r="EX722" s="132"/>
      <c r="EY722" s="132"/>
      <c r="EZ722" s="132"/>
      <c r="FA722" s="132"/>
      <c r="FB722" s="132"/>
      <c r="FC722" s="132"/>
      <c r="FD722" s="132"/>
      <c r="FE722" s="132"/>
      <c r="FF722" s="132"/>
      <c r="FG722" s="132"/>
      <c r="FH722" s="132"/>
      <c r="FI722" s="132"/>
      <c r="FJ722" s="132"/>
      <c r="FK722" s="132"/>
      <c r="FL722" s="132"/>
      <c r="FM722" s="132"/>
      <c r="FN722" s="132"/>
      <c r="FO722" s="132"/>
      <c r="FP722" s="132"/>
      <c r="FQ722" s="132"/>
      <c r="FR722" s="132"/>
      <c r="FS722" s="132"/>
      <c r="FT722" s="132"/>
      <c r="FU722" s="132"/>
      <c r="FV722" s="132"/>
      <c r="FW722" s="132"/>
      <c r="FX722" s="132"/>
      <c r="FY722" s="132"/>
      <c r="FZ722" s="132"/>
      <c r="GA722" s="132"/>
      <c r="GB722" s="132"/>
      <c r="GC722" s="132"/>
      <c r="GD722" s="132"/>
      <c r="GE722" s="132"/>
      <c r="GF722" s="132"/>
      <c r="GG722" s="132"/>
      <c r="GH722" s="132"/>
      <c r="GI722" s="132"/>
      <c r="GJ722" s="132"/>
      <c r="GK722" s="132"/>
      <c r="GL722" s="132"/>
      <c r="GM722" s="132"/>
      <c r="GN722" s="132"/>
      <c r="GO722" s="132"/>
      <c r="GP722" s="132"/>
      <c r="GQ722" s="132"/>
      <c r="GR722" s="132"/>
      <c r="GS722" s="132"/>
      <c r="GT722" s="132"/>
      <c r="GU722" s="132"/>
      <c r="GV722" s="132"/>
      <c r="GW722" s="132"/>
      <c r="GX722" s="132"/>
      <c r="GY722" s="132"/>
      <c r="GZ722" s="132"/>
      <c r="HA722" s="132"/>
      <c r="HB722" s="132"/>
      <c r="HC722" s="132"/>
      <c r="HD722" s="132"/>
      <c r="HE722" s="132"/>
      <c r="HF722" s="132"/>
      <c r="HG722" s="132"/>
      <c r="HH722" s="132"/>
      <c r="HI722" s="132"/>
      <c r="HJ722" s="132"/>
      <c r="HK722" s="132"/>
      <c r="HL722" s="132"/>
      <c r="HM722" s="132"/>
      <c r="HN722" s="132"/>
      <c r="HO722" s="132"/>
      <c r="HP722" s="132"/>
      <c r="HQ722" s="132"/>
      <c r="HR722" s="132"/>
      <c r="HS722" s="132"/>
      <c r="HT722" s="132"/>
      <c r="HU722" s="132"/>
      <c r="HV722" s="132"/>
      <c r="HW722" s="132"/>
      <c r="HX722" s="132"/>
      <c r="HY722" s="132"/>
      <c r="HZ722" s="132"/>
      <c r="IA722" s="132"/>
      <c r="IB722" s="132"/>
      <c r="IC722" s="132"/>
      <c r="ID722" s="132"/>
      <c r="IE722" s="132"/>
      <c r="IF722" s="132"/>
      <c r="IG722" s="132"/>
      <c r="IH722" s="132"/>
      <c r="II722" s="132"/>
      <c r="IJ722" s="132"/>
      <c r="IK722" s="132"/>
      <c r="IL722" s="132"/>
      <c r="IM722" s="132"/>
      <c r="IN722" s="132"/>
      <c r="IO722" s="132"/>
      <c r="IP722" s="132"/>
      <c r="IQ722" s="132"/>
      <c r="IR722" s="132"/>
      <c r="IS722" s="132"/>
      <c r="IT722" s="132"/>
    </row>
    <row r="723" spans="1:256">
      <c r="A723" s="734" t="s">
        <v>362</v>
      </c>
      <c r="B723" s="146" t="s">
        <v>383</v>
      </c>
      <c r="C723" s="328">
        <v>1</v>
      </c>
      <c r="D723" s="329" t="s">
        <v>113</v>
      </c>
      <c r="E723" s="838"/>
      <c r="F723" s="911">
        <f t="shared" si="20"/>
        <v>0</v>
      </c>
      <c r="G723" s="159"/>
      <c r="H723" s="132"/>
      <c r="I723" s="132"/>
      <c r="J723" s="132"/>
      <c r="K723" s="132"/>
      <c r="L723" s="132"/>
      <c r="M723" s="132"/>
      <c r="N723" s="132"/>
      <c r="O723" s="132"/>
      <c r="P723" s="132"/>
      <c r="Q723" s="132"/>
      <c r="R723" s="132"/>
      <c r="S723" s="132"/>
      <c r="T723" s="132"/>
      <c r="U723" s="132"/>
      <c r="V723" s="132"/>
      <c r="W723" s="132"/>
      <c r="X723" s="132"/>
      <c r="Y723" s="132"/>
      <c r="Z723" s="132"/>
      <c r="AA723" s="132"/>
      <c r="AB723" s="132"/>
      <c r="AC723" s="132"/>
      <c r="AD723" s="132"/>
      <c r="AE723" s="132"/>
      <c r="AF723" s="132"/>
      <c r="AG723" s="132"/>
      <c r="AH723" s="132"/>
      <c r="AI723" s="132"/>
      <c r="AJ723" s="132"/>
      <c r="AK723" s="132"/>
      <c r="AL723" s="132"/>
      <c r="AM723" s="132"/>
      <c r="AN723" s="132"/>
      <c r="AO723" s="132"/>
      <c r="AP723" s="132"/>
      <c r="AQ723" s="132"/>
      <c r="AR723" s="132"/>
      <c r="AS723" s="132"/>
      <c r="AT723" s="132"/>
      <c r="AU723" s="132"/>
      <c r="AV723" s="132"/>
      <c r="AW723" s="132"/>
      <c r="AX723" s="132"/>
      <c r="AY723" s="132"/>
      <c r="AZ723" s="132"/>
      <c r="BA723" s="132"/>
      <c r="BB723" s="132"/>
      <c r="BC723" s="132"/>
      <c r="BD723" s="132"/>
      <c r="BE723" s="132"/>
      <c r="BF723" s="132"/>
      <c r="BG723" s="132"/>
      <c r="BH723" s="132"/>
      <c r="BI723" s="132"/>
      <c r="BJ723" s="132"/>
      <c r="BK723" s="132"/>
      <c r="BL723" s="132"/>
      <c r="BM723" s="132"/>
      <c r="BN723" s="132"/>
      <c r="BO723" s="132"/>
      <c r="BP723" s="132"/>
      <c r="BQ723" s="132"/>
      <c r="BR723" s="132"/>
      <c r="BS723" s="132"/>
      <c r="BT723" s="132"/>
      <c r="BU723" s="132"/>
      <c r="BV723" s="132"/>
      <c r="BW723" s="132"/>
      <c r="BX723" s="132"/>
      <c r="BY723" s="132"/>
      <c r="BZ723" s="132"/>
      <c r="CA723" s="132"/>
      <c r="CB723" s="132"/>
      <c r="CC723" s="132"/>
      <c r="CD723" s="132"/>
      <c r="CE723" s="132"/>
      <c r="CF723" s="132"/>
      <c r="CG723" s="132"/>
      <c r="CH723" s="132"/>
      <c r="CI723" s="132"/>
      <c r="CJ723" s="132"/>
      <c r="CK723" s="132"/>
      <c r="CL723" s="132"/>
      <c r="CM723" s="132"/>
      <c r="CN723" s="132"/>
      <c r="CO723" s="132"/>
      <c r="CP723" s="132"/>
      <c r="CQ723" s="132"/>
      <c r="CR723" s="132"/>
      <c r="CS723" s="132"/>
      <c r="CT723" s="132"/>
      <c r="CU723" s="132"/>
      <c r="CV723" s="132"/>
      <c r="CW723" s="132"/>
      <c r="CX723" s="132"/>
      <c r="CY723" s="132"/>
      <c r="CZ723" s="132"/>
      <c r="DA723" s="132"/>
      <c r="DB723" s="132"/>
      <c r="DC723" s="132"/>
      <c r="DD723" s="132"/>
      <c r="DE723" s="132"/>
      <c r="DF723" s="132"/>
      <c r="DG723" s="132"/>
      <c r="DH723" s="132"/>
      <c r="DI723" s="132"/>
      <c r="DJ723" s="132"/>
      <c r="DK723" s="132"/>
      <c r="DL723" s="132"/>
      <c r="DM723" s="132"/>
      <c r="DN723" s="132"/>
      <c r="DO723" s="132"/>
      <c r="DP723" s="132"/>
      <c r="DQ723" s="132"/>
      <c r="DR723" s="132"/>
      <c r="DS723" s="132"/>
      <c r="DT723" s="132"/>
      <c r="DU723" s="132"/>
      <c r="DV723" s="132"/>
      <c r="DW723" s="132"/>
      <c r="DX723" s="132"/>
      <c r="DY723" s="132"/>
      <c r="DZ723" s="132"/>
      <c r="EA723" s="132"/>
      <c r="EB723" s="132"/>
      <c r="EC723" s="132"/>
      <c r="ED723" s="132"/>
      <c r="EE723" s="132"/>
      <c r="EF723" s="132"/>
      <c r="EG723" s="132"/>
      <c r="EH723" s="132"/>
      <c r="EI723" s="132"/>
      <c r="EJ723" s="132"/>
      <c r="EK723" s="132"/>
      <c r="EL723" s="132"/>
      <c r="EM723" s="132"/>
      <c r="EN723" s="132"/>
      <c r="EO723" s="132"/>
      <c r="EP723" s="132"/>
      <c r="EQ723" s="132"/>
      <c r="ER723" s="132"/>
      <c r="ES723" s="132"/>
      <c r="ET723" s="132"/>
      <c r="EU723" s="132"/>
      <c r="EV723" s="132"/>
      <c r="EW723" s="132"/>
      <c r="EX723" s="132"/>
      <c r="EY723" s="132"/>
      <c r="EZ723" s="132"/>
      <c r="FA723" s="132"/>
      <c r="FB723" s="132"/>
      <c r="FC723" s="132"/>
      <c r="FD723" s="132"/>
      <c r="FE723" s="132"/>
      <c r="FF723" s="132"/>
      <c r="FG723" s="132"/>
      <c r="FH723" s="132"/>
      <c r="FI723" s="132"/>
      <c r="FJ723" s="132"/>
      <c r="FK723" s="132"/>
      <c r="FL723" s="132"/>
      <c r="FM723" s="132"/>
      <c r="FN723" s="132"/>
      <c r="FO723" s="132"/>
      <c r="FP723" s="132"/>
      <c r="FQ723" s="132"/>
      <c r="FR723" s="132"/>
      <c r="FS723" s="132"/>
      <c r="FT723" s="132"/>
      <c r="FU723" s="132"/>
      <c r="FV723" s="132"/>
      <c r="FW723" s="132"/>
      <c r="FX723" s="132"/>
      <c r="FY723" s="132"/>
      <c r="FZ723" s="132"/>
      <c r="GA723" s="132"/>
      <c r="GB723" s="132"/>
      <c r="GC723" s="132"/>
      <c r="GD723" s="132"/>
      <c r="GE723" s="132"/>
      <c r="GF723" s="132"/>
      <c r="GG723" s="132"/>
      <c r="GH723" s="132"/>
      <c r="GI723" s="132"/>
      <c r="GJ723" s="132"/>
      <c r="GK723" s="132"/>
      <c r="GL723" s="132"/>
      <c r="GM723" s="132"/>
      <c r="GN723" s="132"/>
      <c r="GO723" s="132"/>
      <c r="GP723" s="132"/>
      <c r="GQ723" s="132"/>
      <c r="GR723" s="132"/>
      <c r="GS723" s="132"/>
      <c r="GT723" s="132"/>
      <c r="GU723" s="132"/>
      <c r="GV723" s="132"/>
      <c r="GW723" s="132"/>
      <c r="GX723" s="132"/>
      <c r="GY723" s="132"/>
      <c r="GZ723" s="132"/>
      <c r="HA723" s="132"/>
      <c r="HB723" s="132"/>
      <c r="HC723" s="132"/>
      <c r="HD723" s="132"/>
      <c r="HE723" s="132"/>
      <c r="HF723" s="132"/>
      <c r="HG723" s="132"/>
      <c r="HH723" s="132"/>
      <c r="HI723" s="132"/>
      <c r="HJ723" s="132"/>
      <c r="HK723" s="132"/>
      <c r="HL723" s="132"/>
      <c r="HM723" s="132"/>
      <c r="HN723" s="132"/>
      <c r="HO723" s="132"/>
      <c r="HP723" s="132"/>
      <c r="HQ723" s="132"/>
      <c r="HR723" s="132"/>
      <c r="HS723" s="132"/>
      <c r="HT723" s="132"/>
      <c r="HU723" s="132"/>
      <c r="HV723" s="132"/>
      <c r="HW723" s="132"/>
      <c r="HX723" s="132"/>
      <c r="HY723" s="132"/>
      <c r="HZ723" s="132"/>
      <c r="IA723" s="132"/>
      <c r="IB723" s="132"/>
      <c r="IC723" s="132"/>
      <c r="ID723" s="132"/>
      <c r="IE723" s="132"/>
      <c r="IF723" s="132"/>
      <c r="IG723" s="132"/>
      <c r="IH723" s="132"/>
      <c r="II723" s="132"/>
      <c r="IJ723" s="132"/>
      <c r="IK723" s="132"/>
      <c r="IL723" s="132"/>
      <c r="IM723" s="132"/>
      <c r="IN723" s="132"/>
      <c r="IO723" s="132"/>
      <c r="IP723" s="132"/>
      <c r="IQ723" s="132"/>
      <c r="IR723" s="132"/>
      <c r="IS723" s="132"/>
      <c r="IT723" s="132"/>
    </row>
    <row r="724" spans="1:256">
      <c r="A724" s="342"/>
      <c r="B724" s="146"/>
      <c r="C724" s="340"/>
      <c r="D724" s="329"/>
      <c r="F724" s="911"/>
      <c r="G724" s="159"/>
      <c r="H724" s="132"/>
      <c r="I724" s="132"/>
      <c r="J724" s="132"/>
      <c r="K724" s="132"/>
      <c r="L724" s="132"/>
      <c r="M724" s="132"/>
      <c r="N724" s="132"/>
      <c r="O724" s="132"/>
      <c r="P724" s="132"/>
      <c r="Q724" s="132"/>
      <c r="R724" s="132"/>
      <c r="S724" s="132"/>
      <c r="T724" s="132"/>
      <c r="U724" s="132"/>
      <c r="V724" s="132"/>
      <c r="W724" s="132"/>
      <c r="X724" s="132"/>
      <c r="Y724" s="132"/>
      <c r="Z724" s="132"/>
      <c r="AA724" s="132"/>
      <c r="AB724" s="132"/>
      <c r="AC724" s="132"/>
      <c r="AD724" s="132"/>
      <c r="AE724" s="132"/>
      <c r="AF724" s="132"/>
      <c r="AG724" s="132"/>
      <c r="AH724" s="132"/>
      <c r="AI724" s="132"/>
      <c r="AJ724" s="132"/>
      <c r="AK724" s="132"/>
      <c r="AL724" s="132"/>
      <c r="AM724" s="132"/>
      <c r="AN724" s="132"/>
      <c r="AO724" s="132"/>
      <c r="AP724" s="132"/>
      <c r="AQ724" s="132"/>
      <c r="AR724" s="132"/>
      <c r="AS724" s="132"/>
      <c r="AT724" s="132"/>
      <c r="AU724" s="132"/>
      <c r="AV724" s="132"/>
      <c r="AW724" s="132"/>
      <c r="AX724" s="132"/>
      <c r="AY724" s="132"/>
      <c r="AZ724" s="132"/>
      <c r="BA724" s="132"/>
      <c r="BB724" s="132"/>
      <c r="BC724" s="132"/>
      <c r="BD724" s="132"/>
      <c r="BE724" s="132"/>
      <c r="BF724" s="132"/>
      <c r="BG724" s="132"/>
      <c r="BH724" s="132"/>
      <c r="BI724" s="132"/>
      <c r="BJ724" s="132"/>
      <c r="BK724" s="132"/>
      <c r="BL724" s="132"/>
      <c r="BM724" s="132"/>
      <c r="BN724" s="132"/>
      <c r="BO724" s="132"/>
      <c r="BP724" s="132"/>
      <c r="BQ724" s="132"/>
      <c r="BR724" s="132"/>
      <c r="BS724" s="132"/>
      <c r="BT724" s="132"/>
      <c r="BU724" s="132"/>
      <c r="BV724" s="132"/>
      <c r="BW724" s="132"/>
      <c r="BX724" s="132"/>
      <c r="BY724" s="132"/>
      <c r="BZ724" s="132"/>
      <c r="CA724" s="132"/>
      <c r="CB724" s="132"/>
      <c r="CC724" s="132"/>
      <c r="CD724" s="132"/>
      <c r="CE724" s="132"/>
      <c r="CF724" s="132"/>
      <c r="CG724" s="132"/>
      <c r="CH724" s="132"/>
      <c r="CI724" s="132"/>
      <c r="CJ724" s="132"/>
      <c r="CK724" s="132"/>
      <c r="CL724" s="132"/>
      <c r="CM724" s="132"/>
      <c r="CN724" s="132"/>
      <c r="CO724" s="132"/>
      <c r="CP724" s="132"/>
      <c r="CQ724" s="132"/>
      <c r="CR724" s="132"/>
      <c r="CS724" s="132"/>
      <c r="CT724" s="132"/>
      <c r="CU724" s="132"/>
      <c r="CV724" s="132"/>
      <c r="CW724" s="132"/>
      <c r="CX724" s="132"/>
      <c r="CY724" s="132"/>
      <c r="CZ724" s="132"/>
      <c r="DA724" s="132"/>
      <c r="DB724" s="132"/>
      <c r="DC724" s="132"/>
      <c r="DD724" s="132"/>
      <c r="DE724" s="132"/>
      <c r="DF724" s="132"/>
      <c r="DG724" s="132"/>
      <c r="DH724" s="132"/>
      <c r="DI724" s="132"/>
      <c r="DJ724" s="132"/>
      <c r="DK724" s="132"/>
      <c r="DL724" s="132"/>
      <c r="DM724" s="132"/>
      <c r="DN724" s="132"/>
      <c r="DO724" s="132"/>
      <c r="DP724" s="132"/>
      <c r="DQ724" s="132"/>
      <c r="DR724" s="132"/>
      <c r="DS724" s="132"/>
      <c r="DT724" s="132"/>
      <c r="DU724" s="132"/>
      <c r="DV724" s="132"/>
      <c r="DW724" s="132"/>
      <c r="DX724" s="132"/>
      <c r="DY724" s="132"/>
      <c r="DZ724" s="132"/>
      <c r="EA724" s="132"/>
      <c r="EB724" s="132"/>
      <c r="EC724" s="132"/>
      <c r="ED724" s="132"/>
      <c r="EE724" s="132"/>
      <c r="EF724" s="132"/>
      <c r="EG724" s="132"/>
      <c r="EH724" s="132"/>
      <c r="EI724" s="132"/>
      <c r="EJ724" s="132"/>
      <c r="EK724" s="132"/>
      <c r="EL724" s="132"/>
      <c r="EM724" s="132"/>
      <c r="EN724" s="132"/>
      <c r="EO724" s="132"/>
      <c r="EP724" s="132"/>
      <c r="EQ724" s="132"/>
      <c r="ER724" s="132"/>
      <c r="ES724" s="132"/>
      <c r="ET724" s="132"/>
      <c r="EU724" s="132"/>
      <c r="EV724" s="132"/>
      <c r="EW724" s="132"/>
      <c r="EX724" s="132"/>
      <c r="EY724" s="132"/>
      <c r="EZ724" s="132"/>
      <c r="FA724" s="132"/>
      <c r="FB724" s="132"/>
      <c r="FC724" s="132"/>
      <c r="FD724" s="132"/>
      <c r="FE724" s="132"/>
      <c r="FF724" s="132"/>
      <c r="FG724" s="132"/>
      <c r="FH724" s="132"/>
      <c r="FI724" s="132"/>
      <c r="FJ724" s="132"/>
      <c r="FK724" s="132"/>
      <c r="FL724" s="132"/>
      <c r="FM724" s="132"/>
      <c r="FN724" s="132"/>
      <c r="FO724" s="132"/>
      <c r="FP724" s="132"/>
      <c r="FQ724" s="132"/>
      <c r="FR724" s="132"/>
      <c r="FS724" s="132"/>
      <c r="FT724" s="132"/>
      <c r="FU724" s="132"/>
      <c r="FV724" s="132"/>
      <c r="FW724" s="132"/>
      <c r="FX724" s="132"/>
      <c r="FY724" s="132"/>
      <c r="FZ724" s="132"/>
      <c r="GA724" s="132"/>
      <c r="GB724" s="132"/>
      <c r="GC724" s="132"/>
      <c r="GD724" s="132"/>
      <c r="GE724" s="132"/>
      <c r="GF724" s="132"/>
      <c r="GG724" s="132"/>
      <c r="GH724" s="132"/>
      <c r="GI724" s="132"/>
      <c r="GJ724" s="132"/>
      <c r="GK724" s="132"/>
      <c r="GL724" s="132"/>
      <c r="GM724" s="132"/>
      <c r="GN724" s="132"/>
      <c r="GO724" s="132"/>
      <c r="GP724" s="132"/>
      <c r="GQ724" s="132"/>
      <c r="GR724" s="132"/>
      <c r="GS724" s="132"/>
      <c r="GT724" s="132"/>
      <c r="GU724" s="132"/>
      <c r="GV724" s="132"/>
      <c r="GW724" s="132"/>
      <c r="GX724" s="132"/>
      <c r="GY724" s="132"/>
      <c r="GZ724" s="132"/>
      <c r="HA724" s="132"/>
      <c r="HB724" s="132"/>
      <c r="HC724" s="132"/>
      <c r="HD724" s="132"/>
      <c r="HE724" s="132"/>
      <c r="HF724" s="132"/>
      <c r="HG724" s="132"/>
      <c r="HH724" s="132"/>
      <c r="HI724" s="132"/>
      <c r="HJ724" s="132"/>
      <c r="HK724" s="132"/>
      <c r="HL724" s="132"/>
      <c r="HM724" s="132"/>
      <c r="HN724" s="132"/>
      <c r="HO724" s="132"/>
      <c r="HP724" s="132"/>
      <c r="HQ724" s="132"/>
      <c r="HR724" s="132"/>
      <c r="HS724" s="132"/>
      <c r="HT724" s="132"/>
      <c r="HU724" s="132"/>
      <c r="HV724" s="132"/>
      <c r="HW724" s="132"/>
      <c r="HX724" s="132"/>
      <c r="HY724" s="132"/>
      <c r="HZ724" s="132"/>
      <c r="IA724" s="132"/>
      <c r="IB724" s="132"/>
      <c r="IC724" s="132"/>
      <c r="ID724" s="132"/>
      <c r="IE724" s="132"/>
      <c r="IF724" s="132"/>
      <c r="IG724" s="132"/>
      <c r="IH724" s="132"/>
      <c r="II724" s="132"/>
      <c r="IJ724" s="132"/>
      <c r="IK724" s="132"/>
      <c r="IL724" s="132"/>
      <c r="IM724" s="132"/>
      <c r="IN724" s="132"/>
      <c r="IO724" s="132"/>
      <c r="IP724" s="132"/>
      <c r="IQ724" s="132"/>
      <c r="IR724" s="132"/>
      <c r="IS724" s="132"/>
      <c r="IT724" s="132"/>
    </row>
    <row r="725" spans="1:256" ht="38.25">
      <c r="A725" s="342"/>
      <c r="B725" s="146" t="s">
        <v>382</v>
      </c>
      <c r="C725" s="340"/>
      <c r="D725" s="329"/>
      <c r="F725" s="911"/>
      <c r="G725" s="159"/>
      <c r="H725" s="132"/>
      <c r="I725" s="132"/>
      <c r="J725" s="132"/>
      <c r="K725" s="132"/>
      <c r="L725" s="132"/>
      <c r="M725" s="132"/>
      <c r="N725" s="132"/>
      <c r="O725" s="132"/>
      <c r="P725" s="132"/>
      <c r="Q725" s="132"/>
      <c r="R725" s="132"/>
      <c r="S725" s="132"/>
      <c r="T725" s="132"/>
      <c r="U725" s="132"/>
      <c r="V725" s="132"/>
      <c r="W725" s="132"/>
      <c r="X725" s="132"/>
      <c r="Y725" s="132"/>
      <c r="Z725" s="132"/>
      <c r="AA725" s="132"/>
      <c r="AB725" s="132"/>
      <c r="AC725" s="132"/>
      <c r="AD725" s="132"/>
      <c r="AE725" s="132"/>
      <c r="AF725" s="132"/>
      <c r="AG725" s="132"/>
      <c r="AH725" s="132"/>
      <c r="AI725" s="132"/>
      <c r="AJ725" s="132"/>
      <c r="AK725" s="132"/>
      <c r="AL725" s="132"/>
      <c r="AM725" s="132"/>
      <c r="AN725" s="132"/>
      <c r="AO725" s="132"/>
      <c r="AP725" s="132"/>
      <c r="AQ725" s="132"/>
      <c r="AR725" s="132"/>
      <c r="AS725" s="132"/>
      <c r="AT725" s="132"/>
      <c r="AU725" s="132"/>
      <c r="AV725" s="132"/>
      <c r="AW725" s="132"/>
      <c r="AX725" s="132"/>
      <c r="AY725" s="132"/>
      <c r="AZ725" s="132"/>
      <c r="BA725" s="132"/>
      <c r="BB725" s="132"/>
      <c r="BC725" s="132"/>
      <c r="BD725" s="132"/>
      <c r="BE725" s="132"/>
      <c r="BF725" s="132"/>
      <c r="BG725" s="132"/>
      <c r="BH725" s="132"/>
      <c r="BI725" s="132"/>
      <c r="BJ725" s="132"/>
      <c r="BK725" s="132"/>
      <c r="BL725" s="132"/>
      <c r="BM725" s="132"/>
      <c r="BN725" s="132"/>
      <c r="BO725" s="132"/>
      <c r="BP725" s="132"/>
      <c r="BQ725" s="132"/>
      <c r="BR725" s="132"/>
      <c r="BS725" s="132"/>
      <c r="BT725" s="132"/>
      <c r="BU725" s="132"/>
      <c r="BV725" s="132"/>
      <c r="BW725" s="132"/>
      <c r="BX725" s="132"/>
      <c r="BY725" s="132"/>
      <c r="BZ725" s="132"/>
      <c r="CA725" s="132"/>
      <c r="CB725" s="132"/>
      <c r="CC725" s="132"/>
      <c r="CD725" s="132"/>
      <c r="CE725" s="132"/>
      <c r="CF725" s="132"/>
      <c r="CG725" s="132"/>
      <c r="CH725" s="132"/>
      <c r="CI725" s="132"/>
      <c r="CJ725" s="132"/>
      <c r="CK725" s="132"/>
      <c r="CL725" s="132"/>
      <c r="CM725" s="132"/>
      <c r="CN725" s="132"/>
      <c r="CO725" s="132"/>
      <c r="CP725" s="132"/>
      <c r="CQ725" s="132"/>
      <c r="CR725" s="132"/>
      <c r="CS725" s="132"/>
      <c r="CT725" s="132"/>
      <c r="CU725" s="132"/>
      <c r="CV725" s="132"/>
      <c r="CW725" s="132"/>
      <c r="CX725" s="132"/>
      <c r="CY725" s="132"/>
      <c r="CZ725" s="132"/>
      <c r="DA725" s="132"/>
      <c r="DB725" s="132"/>
      <c r="DC725" s="132"/>
      <c r="DD725" s="132"/>
      <c r="DE725" s="132"/>
      <c r="DF725" s="132"/>
      <c r="DG725" s="132"/>
      <c r="DH725" s="132"/>
      <c r="DI725" s="132"/>
      <c r="DJ725" s="132"/>
      <c r="DK725" s="132"/>
      <c r="DL725" s="132"/>
      <c r="DM725" s="132"/>
      <c r="DN725" s="132"/>
      <c r="DO725" s="132"/>
      <c r="DP725" s="132"/>
      <c r="DQ725" s="132"/>
      <c r="DR725" s="132"/>
      <c r="DS725" s="132"/>
      <c r="DT725" s="132"/>
      <c r="DU725" s="132"/>
      <c r="DV725" s="132"/>
      <c r="DW725" s="132"/>
      <c r="DX725" s="132"/>
      <c r="DY725" s="132"/>
      <c r="DZ725" s="132"/>
      <c r="EA725" s="132"/>
      <c r="EB725" s="132"/>
      <c r="EC725" s="132"/>
      <c r="ED725" s="132"/>
      <c r="EE725" s="132"/>
      <c r="EF725" s="132"/>
      <c r="EG725" s="132"/>
      <c r="EH725" s="132"/>
      <c r="EI725" s="132"/>
      <c r="EJ725" s="132"/>
      <c r="EK725" s="132"/>
      <c r="EL725" s="132"/>
      <c r="EM725" s="132"/>
      <c r="EN725" s="132"/>
      <c r="EO725" s="132"/>
      <c r="EP725" s="132"/>
      <c r="EQ725" s="132"/>
      <c r="ER725" s="132"/>
      <c r="ES725" s="132"/>
      <c r="ET725" s="132"/>
      <c r="EU725" s="132"/>
      <c r="EV725" s="132"/>
      <c r="EW725" s="132"/>
      <c r="EX725" s="132"/>
      <c r="EY725" s="132"/>
      <c r="EZ725" s="132"/>
      <c r="FA725" s="132"/>
      <c r="FB725" s="132"/>
      <c r="FC725" s="132"/>
      <c r="FD725" s="132"/>
      <c r="FE725" s="132"/>
      <c r="FF725" s="132"/>
      <c r="FG725" s="132"/>
      <c r="FH725" s="132"/>
      <c r="FI725" s="132"/>
      <c r="FJ725" s="132"/>
      <c r="FK725" s="132"/>
      <c r="FL725" s="132"/>
      <c r="FM725" s="132"/>
      <c r="FN725" s="132"/>
      <c r="FO725" s="132"/>
      <c r="FP725" s="132"/>
      <c r="FQ725" s="132"/>
      <c r="FR725" s="132"/>
      <c r="FS725" s="132"/>
      <c r="FT725" s="132"/>
      <c r="FU725" s="132"/>
      <c r="FV725" s="132"/>
      <c r="FW725" s="132"/>
      <c r="FX725" s="132"/>
      <c r="FY725" s="132"/>
      <c r="FZ725" s="132"/>
      <c r="GA725" s="132"/>
      <c r="GB725" s="132"/>
      <c r="GC725" s="132"/>
      <c r="GD725" s="132"/>
      <c r="GE725" s="132"/>
      <c r="GF725" s="132"/>
      <c r="GG725" s="132"/>
      <c r="GH725" s="132"/>
      <c r="GI725" s="132"/>
      <c r="GJ725" s="132"/>
      <c r="GK725" s="132"/>
      <c r="GL725" s="132"/>
      <c r="GM725" s="132"/>
      <c r="GN725" s="132"/>
      <c r="GO725" s="132"/>
      <c r="GP725" s="132"/>
      <c r="GQ725" s="132"/>
      <c r="GR725" s="132"/>
      <c r="GS725" s="132"/>
      <c r="GT725" s="132"/>
      <c r="GU725" s="132"/>
      <c r="GV725" s="132"/>
      <c r="GW725" s="132"/>
      <c r="GX725" s="132"/>
      <c r="GY725" s="132"/>
      <c r="GZ725" s="132"/>
      <c r="HA725" s="132"/>
      <c r="HB725" s="132"/>
      <c r="HC725" s="132"/>
      <c r="HD725" s="132"/>
      <c r="HE725" s="132"/>
      <c r="HF725" s="132"/>
      <c r="HG725" s="132"/>
      <c r="HH725" s="132"/>
      <c r="HI725" s="132"/>
      <c r="HJ725" s="132"/>
      <c r="HK725" s="132"/>
      <c r="HL725" s="132"/>
      <c r="HM725" s="132"/>
      <c r="HN725" s="132"/>
      <c r="HO725" s="132"/>
      <c r="HP725" s="132"/>
      <c r="HQ725" s="132"/>
      <c r="HR725" s="132"/>
      <c r="HS725" s="132"/>
      <c r="HT725" s="132"/>
      <c r="HU725" s="132"/>
      <c r="HV725" s="132"/>
      <c r="HW725" s="132"/>
      <c r="HX725" s="132"/>
      <c r="HY725" s="132"/>
      <c r="HZ725" s="132"/>
      <c r="IA725" s="132"/>
      <c r="IB725" s="132"/>
      <c r="IC725" s="132"/>
      <c r="ID725" s="132"/>
      <c r="IE725" s="132"/>
      <c r="IF725" s="132"/>
      <c r="IG725" s="132"/>
      <c r="IH725" s="132"/>
      <c r="II725" s="132"/>
      <c r="IJ725" s="132"/>
      <c r="IK725" s="132"/>
      <c r="IL725" s="132"/>
      <c r="IM725" s="132"/>
      <c r="IN725" s="132"/>
      <c r="IO725" s="132"/>
      <c r="IP725" s="132"/>
      <c r="IQ725" s="132"/>
      <c r="IR725" s="132"/>
      <c r="IS725" s="132"/>
      <c r="IT725" s="132"/>
    </row>
    <row r="726" spans="1:256">
      <c r="A726" s="734" t="s">
        <v>381</v>
      </c>
      <c r="B726" s="146" t="s">
        <v>380</v>
      </c>
      <c r="C726" s="328">
        <v>1</v>
      </c>
      <c r="D726" s="329" t="s">
        <v>113</v>
      </c>
      <c r="E726" s="838"/>
      <c r="F726" s="911">
        <f t="shared" si="20"/>
        <v>0</v>
      </c>
      <c r="G726" s="159"/>
      <c r="H726" s="132"/>
      <c r="I726" s="132"/>
      <c r="J726" s="132"/>
      <c r="K726" s="132"/>
      <c r="L726" s="132"/>
      <c r="M726" s="132"/>
      <c r="N726" s="132"/>
      <c r="O726" s="132"/>
      <c r="P726" s="132"/>
      <c r="Q726" s="132"/>
      <c r="R726" s="132"/>
      <c r="S726" s="132"/>
      <c r="T726" s="132"/>
      <c r="U726" s="132"/>
      <c r="V726" s="132"/>
      <c r="W726" s="132"/>
      <c r="X726" s="132"/>
      <c r="Y726" s="132"/>
      <c r="Z726" s="132"/>
      <c r="AA726" s="132"/>
      <c r="AB726" s="132"/>
      <c r="AC726" s="132"/>
      <c r="AD726" s="132"/>
      <c r="AE726" s="132"/>
      <c r="AF726" s="132"/>
      <c r="AG726" s="132"/>
      <c r="AH726" s="132"/>
      <c r="AI726" s="132"/>
      <c r="AJ726" s="132"/>
      <c r="AK726" s="132"/>
      <c r="AL726" s="132"/>
      <c r="AM726" s="132"/>
      <c r="AN726" s="132"/>
      <c r="AO726" s="132"/>
      <c r="AP726" s="132"/>
      <c r="AQ726" s="132"/>
      <c r="AR726" s="132"/>
      <c r="AS726" s="132"/>
      <c r="AT726" s="132"/>
      <c r="AU726" s="132"/>
      <c r="AV726" s="132"/>
      <c r="AW726" s="132"/>
      <c r="AX726" s="132"/>
      <c r="AY726" s="132"/>
      <c r="AZ726" s="132"/>
      <c r="BA726" s="132"/>
      <c r="BB726" s="132"/>
      <c r="BC726" s="132"/>
      <c r="BD726" s="132"/>
      <c r="BE726" s="132"/>
      <c r="BF726" s="132"/>
      <c r="BG726" s="132"/>
      <c r="BH726" s="132"/>
      <c r="BI726" s="132"/>
      <c r="BJ726" s="132"/>
      <c r="BK726" s="132"/>
      <c r="BL726" s="132"/>
      <c r="BM726" s="132"/>
      <c r="BN726" s="132"/>
      <c r="BO726" s="132"/>
      <c r="BP726" s="132"/>
      <c r="BQ726" s="132"/>
      <c r="BR726" s="132"/>
      <c r="BS726" s="132"/>
      <c r="BT726" s="132"/>
      <c r="BU726" s="132"/>
      <c r="BV726" s="132"/>
      <c r="BW726" s="132"/>
      <c r="BX726" s="132"/>
      <c r="BY726" s="132"/>
      <c r="BZ726" s="132"/>
      <c r="CA726" s="132"/>
      <c r="CB726" s="132"/>
      <c r="CC726" s="132"/>
      <c r="CD726" s="132"/>
      <c r="CE726" s="132"/>
      <c r="CF726" s="132"/>
      <c r="CG726" s="132"/>
      <c r="CH726" s="132"/>
      <c r="CI726" s="132"/>
      <c r="CJ726" s="132"/>
      <c r="CK726" s="132"/>
      <c r="CL726" s="132"/>
      <c r="CM726" s="132"/>
      <c r="CN726" s="132"/>
      <c r="CO726" s="132"/>
      <c r="CP726" s="132"/>
      <c r="CQ726" s="132"/>
      <c r="CR726" s="132"/>
      <c r="CS726" s="132"/>
      <c r="CT726" s="132"/>
      <c r="CU726" s="132"/>
      <c r="CV726" s="132"/>
      <c r="CW726" s="132"/>
      <c r="CX726" s="132"/>
      <c r="CY726" s="132"/>
      <c r="CZ726" s="132"/>
      <c r="DA726" s="132"/>
      <c r="DB726" s="132"/>
      <c r="DC726" s="132"/>
      <c r="DD726" s="132"/>
      <c r="DE726" s="132"/>
      <c r="DF726" s="132"/>
      <c r="DG726" s="132"/>
      <c r="DH726" s="132"/>
      <c r="DI726" s="132"/>
      <c r="DJ726" s="132"/>
      <c r="DK726" s="132"/>
      <c r="DL726" s="132"/>
      <c r="DM726" s="132"/>
      <c r="DN726" s="132"/>
      <c r="DO726" s="132"/>
      <c r="DP726" s="132"/>
      <c r="DQ726" s="132"/>
      <c r="DR726" s="132"/>
      <c r="DS726" s="132"/>
      <c r="DT726" s="132"/>
      <c r="DU726" s="132"/>
      <c r="DV726" s="132"/>
      <c r="DW726" s="132"/>
      <c r="DX726" s="132"/>
      <c r="DY726" s="132"/>
      <c r="DZ726" s="132"/>
      <c r="EA726" s="132"/>
      <c r="EB726" s="132"/>
      <c r="EC726" s="132"/>
      <c r="ED726" s="132"/>
      <c r="EE726" s="132"/>
      <c r="EF726" s="132"/>
      <c r="EG726" s="132"/>
      <c r="EH726" s="132"/>
      <c r="EI726" s="132"/>
      <c r="EJ726" s="132"/>
      <c r="EK726" s="132"/>
      <c r="EL726" s="132"/>
      <c r="EM726" s="132"/>
      <c r="EN726" s="132"/>
      <c r="EO726" s="132"/>
      <c r="EP726" s="132"/>
      <c r="EQ726" s="132"/>
      <c r="ER726" s="132"/>
      <c r="ES726" s="132"/>
      <c r="ET726" s="132"/>
      <c r="EU726" s="132"/>
      <c r="EV726" s="132"/>
      <c r="EW726" s="132"/>
      <c r="EX726" s="132"/>
      <c r="EY726" s="132"/>
      <c r="EZ726" s="132"/>
      <c r="FA726" s="132"/>
      <c r="FB726" s="132"/>
      <c r="FC726" s="132"/>
      <c r="FD726" s="132"/>
      <c r="FE726" s="132"/>
      <c r="FF726" s="132"/>
      <c r="FG726" s="132"/>
      <c r="FH726" s="132"/>
      <c r="FI726" s="132"/>
      <c r="FJ726" s="132"/>
      <c r="FK726" s="132"/>
      <c r="FL726" s="132"/>
      <c r="FM726" s="132"/>
      <c r="FN726" s="132"/>
      <c r="FO726" s="132"/>
      <c r="FP726" s="132"/>
      <c r="FQ726" s="132"/>
      <c r="FR726" s="132"/>
      <c r="FS726" s="132"/>
      <c r="FT726" s="132"/>
      <c r="FU726" s="132"/>
      <c r="FV726" s="132"/>
      <c r="FW726" s="132"/>
      <c r="FX726" s="132"/>
      <c r="FY726" s="132"/>
      <c r="FZ726" s="132"/>
      <c r="GA726" s="132"/>
      <c r="GB726" s="132"/>
      <c r="GC726" s="132"/>
      <c r="GD726" s="132"/>
      <c r="GE726" s="132"/>
      <c r="GF726" s="132"/>
      <c r="GG726" s="132"/>
      <c r="GH726" s="132"/>
      <c r="GI726" s="132"/>
      <c r="GJ726" s="132"/>
      <c r="GK726" s="132"/>
      <c r="GL726" s="132"/>
      <c r="GM726" s="132"/>
      <c r="GN726" s="132"/>
      <c r="GO726" s="132"/>
      <c r="GP726" s="132"/>
      <c r="GQ726" s="132"/>
      <c r="GR726" s="132"/>
      <c r="GS726" s="132"/>
      <c r="GT726" s="132"/>
      <c r="GU726" s="132"/>
      <c r="GV726" s="132"/>
      <c r="GW726" s="132"/>
      <c r="GX726" s="132"/>
      <c r="GY726" s="132"/>
      <c r="GZ726" s="132"/>
      <c r="HA726" s="132"/>
      <c r="HB726" s="132"/>
      <c r="HC726" s="132"/>
      <c r="HD726" s="132"/>
      <c r="HE726" s="132"/>
      <c r="HF726" s="132"/>
      <c r="HG726" s="132"/>
      <c r="HH726" s="132"/>
      <c r="HI726" s="132"/>
      <c r="HJ726" s="132"/>
      <c r="HK726" s="132"/>
      <c r="HL726" s="132"/>
      <c r="HM726" s="132"/>
      <c r="HN726" s="132"/>
      <c r="HO726" s="132"/>
      <c r="HP726" s="132"/>
      <c r="HQ726" s="132"/>
      <c r="HR726" s="132"/>
      <c r="HS726" s="132"/>
      <c r="HT726" s="132"/>
      <c r="HU726" s="132"/>
      <c r="HV726" s="132"/>
      <c r="HW726" s="132"/>
      <c r="HX726" s="132"/>
      <c r="HY726" s="132"/>
      <c r="HZ726" s="132"/>
      <c r="IA726" s="132"/>
      <c r="IB726" s="132"/>
      <c r="IC726" s="132"/>
      <c r="ID726" s="132"/>
      <c r="IE726" s="132"/>
      <c r="IF726" s="132"/>
      <c r="IG726" s="132"/>
      <c r="IH726" s="132"/>
      <c r="II726" s="132"/>
      <c r="IJ726" s="132"/>
      <c r="IK726" s="132"/>
      <c r="IL726" s="132"/>
      <c r="IM726" s="132"/>
      <c r="IN726" s="132"/>
      <c r="IO726" s="132"/>
      <c r="IP726" s="132"/>
      <c r="IQ726" s="132"/>
      <c r="IR726" s="132"/>
      <c r="IS726" s="132"/>
      <c r="IT726" s="132"/>
    </row>
    <row r="727" spans="1:256" s="148" customFormat="1">
      <c r="A727" s="734"/>
      <c r="B727" s="146"/>
      <c r="C727" s="340"/>
      <c r="D727" s="329"/>
      <c r="E727" s="833"/>
      <c r="F727" s="911"/>
      <c r="G727" s="149"/>
      <c r="IU727" s="132"/>
      <c r="IV727" s="132"/>
    </row>
    <row r="728" spans="1:256" ht="38.25">
      <c r="A728" s="342"/>
      <c r="B728" s="146" t="s">
        <v>379</v>
      </c>
      <c r="C728" s="340"/>
      <c r="D728" s="329"/>
      <c r="F728" s="911"/>
      <c r="G728" s="159"/>
      <c r="H728" s="132"/>
      <c r="I728" s="132"/>
      <c r="J728" s="132"/>
      <c r="K728" s="132"/>
      <c r="L728" s="132"/>
      <c r="M728" s="132"/>
      <c r="N728" s="132"/>
      <c r="O728" s="132"/>
      <c r="P728" s="132"/>
      <c r="Q728" s="132"/>
      <c r="R728" s="132"/>
      <c r="S728" s="132"/>
      <c r="T728" s="132"/>
      <c r="U728" s="132"/>
      <c r="V728" s="132"/>
      <c r="W728" s="132"/>
      <c r="X728" s="132"/>
      <c r="Y728" s="132"/>
      <c r="Z728" s="132"/>
      <c r="AA728" s="132"/>
      <c r="AB728" s="132"/>
      <c r="AC728" s="132"/>
      <c r="AD728" s="132"/>
      <c r="AE728" s="132"/>
      <c r="AF728" s="132"/>
      <c r="AG728" s="132"/>
      <c r="AH728" s="132"/>
      <c r="AI728" s="132"/>
      <c r="AJ728" s="132"/>
      <c r="AK728" s="132"/>
      <c r="AL728" s="132"/>
      <c r="AM728" s="132"/>
      <c r="AN728" s="132"/>
      <c r="AO728" s="132"/>
      <c r="AP728" s="132"/>
      <c r="AQ728" s="132"/>
      <c r="AR728" s="132"/>
      <c r="AS728" s="132"/>
      <c r="AT728" s="132"/>
      <c r="AU728" s="132"/>
      <c r="AV728" s="132"/>
      <c r="AW728" s="132"/>
      <c r="AX728" s="132"/>
      <c r="AY728" s="132"/>
      <c r="AZ728" s="132"/>
      <c r="BA728" s="132"/>
      <c r="BB728" s="132"/>
      <c r="BC728" s="132"/>
      <c r="BD728" s="132"/>
      <c r="BE728" s="132"/>
      <c r="BF728" s="132"/>
      <c r="BG728" s="132"/>
      <c r="BH728" s="132"/>
      <c r="BI728" s="132"/>
      <c r="BJ728" s="132"/>
      <c r="BK728" s="132"/>
      <c r="BL728" s="132"/>
      <c r="BM728" s="132"/>
      <c r="BN728" s="132"/>
      <c r="BO728" s="132"/>
      <c r="BP728" s="132"/>
      <c r="BQ728" s="132"/>
      <c r="BR728" s="132"/>
      <c r="BS728" s="132"/>
      <c r="BT728" s="132"/>
      <c r="BU728" s="132"/>
      <c r="BV728" s="132"/>
      <c r="BW728" s="132"/>
      <c r="BX728" s="132"/>
      <c r="BY728" s="132"/>
      <c r="BZ728" s="132"/>
      <c r="CA728" s="132"/>
      <c r="CB728" s="132"/>
      <c r="CC728" s="132"/>
      <c r="CD728" s="132"/>
      <c r="CE728" s="132"/>
      <c r="CF728" s="132"/>
      <c r="CG728" s="132"/>
      <c r="CH728" s="132"/>
      <c r="CI728" s="132"/>
      <c r="CJ728" s="132"/>
      <c r="CK728" s="132"/>
      <c r="CL728" s="132"/>
      <c r="CM728" s="132"/>
      <c r="CN728" s="132"/>
      <c r="CO728" s="132"/>
      <c r="CP728" s="132"/>
      <c r="CQ728" s="132"/>
      <c r="CR728" s="132"/>
      <c r="CS728" s="132"/>
      <c r="CT728" s="132"/>
      <c r="CU728" s="132"/>
      <c r="CV728" s="132"/>
      <c r="CW728" s="132"/>
      <c r="CX728" s="132"/>
      <c r="CY728" s="132"/>
      <c r="CZ728" s="132"/>
      <c r="DA728" s="132"/>
      <c r="DB728" s="132"/>
      <c r="DC728" s="132"/>
      <c r="DD728" s="132"/>
      <c r="DE728" s="132"/>
      <c r="DF728" s="132"/>
      <c r="DG728" s="132"/>
      <c r="DH728" s="132"/>
      <c r="DI728" s="132"/>
      <c r="DJ728" s="132"/>
      <c r="DK728" s="132"/>
      <c r="DL728" s="132"/>
      <c r="DM728" s="132"/>
      <c r="DN728" s="132"/>
      <c r="DO728" s="132"/>
      <c r="DP728" s="132"/>
      <c r="DQ728" s="132"/>
      <c r="DR728" s="132"/>
      <c r="DS728" s="132"/>
      <c r="DT728" s="132"/>
      <c r="DU728" s="132"/>
      <c r="DV728" s="132"/>
      <c r="DW728" s="132"/>
      <c r="DX728" s="132"/>
      <c r="DY728" s="132"/>
      <c r="DZ728" s="132"/>
      <c r="EA728" s="132"/>
      <c r="EB728" s="132"/>
      <c r="EC728" s="132"/>
      <c r="ED728" s="132"/>
      <c r="EE728" s="132"/>
      <c r="EF728" s="132"/>
      <c r="EG728" s="132"/>
      <c r="EH728" s="132"/>
      <c r="EI728" s="132"/>
      <c r="EJ728" s="132"/>
      <c r="EK728" s="132"/>
      <c r="EL728" s="132"/>
      <c r="EM728" s="132"/>
      <c r="EN728" s="132"/>
      <c r="EO728" s="132"/>
      <c r="EP728" s="132"/>
      <c r="EQ728" s="132"/>
      <c r="ER728" s="132"/>
      <c r="ES728" s="132"/>
      <c r="ET728" s="132"/>
      <c r="EU728" s="132"/>
      <c r="EV728" s="132"/>
      <c r="EW728" s="132"/>
      <c r="EX728" s="132"/>
      <c r="EY728" s="132"/>
      <c r="EZ728" s="132"/>
      <c r="FA728" s="132"/>
      <c r="FB728" s="132"/>
      <c r="FC728" s="132"/>
      <c r="FD728" s="132"/>
      <c r="FE728" s="132"/>
      <c r="FF728" s="132"/>
      <c r="FG728" s="132"/>
      <c r="FH728" s="132"/>
      <c r="FI728" s="132"/>
      <c r="FJ728" s="132"/>
      <c r="FK728" s="132"/>
      <c r="FL728" s="132"/>
      <c r="FM728" s="132"/>
      <c r="FN728" s="132"/>
      <c r="FO728" s="132"/>
      <c r="FP728" s="132"/>
      <c r="FQ728" s="132"/>
      <c r="FR728" s="132"/>
      <c r="FS728" s="132"/>
      <c r="FT728" s="132"/>
      <c r="FU728" s="132"/>
      <c r="FV728" s="132"/>
      <c r="FW728" s="132"/>
      <c r="FX728" s="132"/>
      <c r="FY728" s="132"/>
      <c r="FZ728" s="132"/>
      <c r="GA728" s="132"/>
      <c r="GB728" s="132"/>
      <c r="GC728" s="132"/>
      <c r="GD728" s="132"/>
      <c r="GE728" s="132"/>
      <c r="GF728" s="132"/>
      <c r="GG728" s="132"/>
      <c r="GH728" s="132"/>
      <c r="GI728" s="132"/>
      <c r="GJ728" s="132"/>
      <c r="GK728" s="132"/>
      <c r="GL728" s="132"/>
      <c r="GM728" s="132"/>
      <c r="GN728" s="132"/>
      <c r="GO728" s="132"/>
      <c r="GP728" s="132"/>
      <c r="GQ728" s="132"/>
      <c r="GR728" s="132"/>
      <c r="GS728" s="132"/>
      <c r="GT728" s="132"/>
      <c r="GU728" s="132"/>
      <c r="GV728" s="132"/>
      <c r="GW728" s="132"/>
      <c r="GX728" s="132"/>
      <c r="GY728" s="132"/>
      <c r="GZ728" s="132"/>
      <c r="HA728" s="132"/>
      <c r="HB728" s="132"/>
      <c r="HC728" s="132"/>
      <c r="HD728" s="132"/>
      <c r="HE728" s="132"/>
      <c r="HF728" s="132"/>
      <c r="HG728" s="132"/>
      <c r="HH728" s="132"/>
      <c r="HI728" s="132"/>
      <c r="HJ728" s="132"/>
      <c r="HK728" s="132"/>
      <c r="HL728" s="132"/>
      <c r="HM728" s="132"/>
      <c r="HN728" s="132"/>
      <c r="HO728" s="132"/>
      <c r="HP728" s="132"/>
      <c r="HQ728" s="132"/>
      <c r="HR728" s="132"/>
      <c r="HS728" s="132"/>
      <c r="HT728" s="132"/>
      <c r="HU728" s="132"/>
      <c r="HV728" s="132"/>
      <c r="HW728" s="132"/>
      <c r="HX728" s="132"/>
      <c r="HY728" s="132"/>
      <c r="HZ728" s="132"/>
      <c r="IA728" s="132"/>
      <c r="IB728" s="132"/>
      <c r="IC728" s="132"/>
      <c r="ID728" s="132"/>
      <c r="IE728" s="132"/>
      <c r="IF728" s="132"/>
      <c r="IG728" s="132"/>
      <c r="IH728" s="132"/>
      <c r="II728" s="132"/>
      <c r="IJ728" s="132"/>
      <c r="IK728" s="132"/>
      <c r="IL728" s="132"/>
      <c r="IM728" s="132"/>
      <c r="IN728" s="132"/>
      <c r="IO728" s="132"/>
      <c r="IP728" s="132"/>
      <c r="IQ728" s="132"/>
      <c r="IR728" s="132"/>
      <c r="IS728" s="132"/>
      <c r="IT728" s="132"/>
    </row>
    <row r="729" spans="1:256">
      <c r="A729" s="734" t="s">
        <v>357</v>
      </c>
      <c r="B729" s="146" t="s">
        <v>378</v>
      </c>
      <c r="C729" s="328">
        <v>1</v>
      </c>
      <c r="D729" s="329" t="s">
        <v>113</v>
      </c>
      <c r="E729" s="838"/>
      <c r="F729" s="911">
        <f t="shared" si="20"/>
        <v>0</v>
      </c>
      <c r="G729" s="159"/>
      <c r="H729" s="132"/>
      <c r="I729" s="132"/>
      <c r="J729" s="132"/>
      <c r="K729" s="132"/>
      <c r="L729" s="132"/>
      <c r="M729" s="132"/>
      <c r="N729" s="132"/>
      <c r="O729" s="132"/>
      <c r="P729" s="132"/>
      <c r="Q729" s="132"/>
      <c r="R729" s="132"/>
      <c r="S729" s="132"/>
      <c r="T729" s="132"/>
      <c r="U729" s="132"/>
      <c r="V729" s="132"/>
      <c r="W729" s="132"/>
      <c r="X729" s="132"/>
      <c r="Y729" s="132"/>
      <c r="Z729" s="132"/>
      <c r="AA729" s="132"/>
      <c r="AB729" s="132"/>
      <c r="AC729" s="132"/>
      <c r="AD729" s="132"/>
      <c r="AE729" s="132"/>
      <c r="AF729" s="132"/>
      <c r="AG729" s="132"/>
      <c r="AH729" s="132"/>
      <c r="AI729" s="132"/>
      <c r="AJ729" s="132"/>
      <c r="AK729" s="132"/>
      <c r="AL729" s="132"/>
      <c r="AM729" s="132"/>
      <c r="AN729" s="132"/>
      <c r="AO729" s="132"/>
      <c r="AP729" s="132"/>
      <c r="AQ729" s="132"/>
      <c r="AR729" s="132"/>
      <c r="AS729" s="132"/>
      <c r="AT729" s="132"/>
      <c r="AU729" s="132"/>
      <c r="AV729" s="132"/>
      <c r="AW729" s="132"/>
      <c r="AX729" s="132"/>
      <c r="AY729" s="132"/>
      <c r="AZ729" s="132"/>
      <c r="BA729" s="132"/>
      <c r="BB729" s="132"/>
      <c r="BC729" s="132"/>
      <c r="BD729" s="132"/>
      <c r="BE729" s="132"/>
      <c r="BF729" s="132"/>
      <c r="BG729" s="132"/>
      <c r="BH729" s="132"/>
      <c r="BI729" s="132"/>
      <c r="BJ729" s="132"/>
      <c r="BK729" s="132"/>
      <c r="BL729" s="132"/>
      <c r="BM729" s="132"/>
      <c r="BN729" s="132"/>
      <c r="BO729" s="132"/>
      <c r="BP729" s="132"/>
      <c r="BQ729" s="132"/>
      <c r="BR729" s="132"/>
      <c r="BS729" s="132"/>
      <c r="BT729" s="132"/>
      <c r="BU729" s="132"/>
      <c r="BV729" s="132"/>
      <c r="BW729" s="132"/>
      <c r="BX729" s="132"/>
      <c r="BY729" s="132"/>
      <c r="BZ729" s="132"/>
      <c r="CA729" s="132"/>
      <c r="CB729" s="132"/>
      <c r="CC729" s="132"/>
      <c r="CD729" s="132"/>
      <c r="CE729" s="132"/>
      <c r="CF729" s="132"/>
      <c r="CG729" s="132"/>
      <c r="CH729" s="132"/>
      <c r="CI729" s="132"/>
      <c r="CJ729" s="132"/>
      <c r="CK729" s="132"/>
      <c r="CL729" s="132"/>
      <c r="CM729" s="132"/>
      <c r="CN729" s="132"/>
      <c r="CO729" s="132"/>
      <c r="CP729" s="132"/>
      <c r="CQ729" s="132"/>
      <c r="CR729" s="132"/>
      <c r="CS729" s="132"/>
      <c r="CT729" s="132"/>
      <c r="CU729" s="132"/>
      <c r="CV729" s="132"/>
      <c r="CW729" s="132"/>
      <c r="CX729" s="132"/>
      <c r="CY729" s="132"/>
      <c r="CZ729" s="132"/>
      <c r="DA729" s="132"/>
      <c r="DB729" s="132"/>
      <c r="DC729" s="132"/>
      <c r="DD729" s="132"/>
      <c r="DE729" s="132"/>
      <c r="DF729" s="132"/>
      <c r="DG729" s="132"/>
      <c r="DH729" s="132"/>
      <c r="DI729" s="132"/>
      <c r="DJ729" s="132"/>
      <c r="DK729" s="132"/>
      <c r="DL729" s="132"/>
      <c r="DM729" s="132"/>
      <c r="DN729" s="132"/>
      <c r="DO729" s="132"/>
      <c r="DP729" s="132"/>
      <c r="DQ729" s="132"/>
      <c r="DR729" s="132"/>
      <c r="DS729" s="132"/>
      <c r="DT729" s="132"/>
      <c r="DU729" s="132"/>
      <c r="DV729" s="132"/>
      <c r="DW729" s="132"/>
      <c r="DX729" s="132"/>
      <c r="DY729" s="132"/>
      <c r="DZ729" s="132"/>
      <c r="EA729" s="132"/>
      <c r="EB729" s="132"/>
      <c r="EC729" s="132"/>
      <c r="ED729" s="132"/>
      <c r="EE729" s="132"/>
      <c r="EF729" s="132"/>
      <c r="EG729" s="132"/>
      <c r="EH729" s="132"/>
      <c r="EI729" s="132"/>
      <c r="EJ729" s="132"/>
      <c r="EK729" s="132"/>
      <c r="EL729" s="132"/>
      <c r="EM729" s="132"/>
      <c r="EN729" s="132"/>
      <c r="EO729" s="132"/>
      <c r="EP729" s="132"/>
      <c r="EQ729" s="132"/>
      <c r="ER729" s="132"/>
      <c r="ES729" s="132"/>
      <c r="ET729" s="132"/>
      <c r="EU729" s="132"/>
      <c r="EV729" s="132"/>
      <c r="EW729" s="132"/>
      <c r="EX729" s="132"/>
      <c r="EY729" s="132"/>
      <c r="EZ729" s="132"/>
      <c r="FA729" s="132"/>
      <c r="FB729" s="132"/>
      <c r="FC729" s="132"/>
      <c r="FD729" s="132"/>
      <c r="FE729" s="132"/>
      <c r="FF729" s="132"/>
      <c r="FG729" s="132"/>
      <c r="FH729" s="132"/>
      <c r="FI729" s="132"/>
      <c r="FJ729" s="132"/>
      <c r="FK729" s="132"/>
      <c r="FL729" s="132"/>
      <c r="FM729" s="132"/>
      <c r="FN729" s="132"/>
      <c r="FO729" s="132"/>
      <c r="FP729" s="132"/>
      <c r="FQ729" s="132"/>
      <c r="FR729" s="132"/>
      <c r="FS729" s="132"/>
      <c r="FT729" s="132"/>
      <c r="FU729" s="132"/>
      <c r="FV729" s="132"/>
      <c r="FW729" s="132"/>
      <c r="FX729" s="132"/>
      <c r="FY729" s="132"/>
      <c r="FZ729" s="132"/>
      <c r="GA729" s="132"/>
      <c r="GB729" s="132"/>
      <c r="GC729" s="132"/>
      <c r="GD729" s="132"/>
      <c r="GE729" s="132"/>
      <c r="GF729" s="132"/>
      <c r="GG729" s="132"/>
      <c r="GH729" s="132"/>
      <c r="GI729" s="132"/>
      <c r="GJ729" s="132"/>
      <c r="GK729" s="132"/>
      <c r="GL729" s="132"/>
      <c r="GM729" s="132"/>
      <c r="GN729" s="132"/>
      <c r="GO729" s="132"/>
      <c r="GP729" s="132"/>
      <c r="GQ729" s="132"/>
      <c r="GR729" s="132"/>
      <c r="GS729" s="132"/>
      <c r="GT729" s="132"/>
      <c r="GU729" s="132"/>
      <c r="GV729" s="132"/>
      <c r="GW729" s="132"/>
      <c r="GX729" s="132"/>
      <c r="GY729" s="132"/>
      <c r="GZ729" s="132"/>
      <c r="HA729" s="132"/>
      <c r="HB729" s="132"/>
      <c r="HC729" s="132"/>
      <c r="HD729" s="132"/>
      <c r="HE729" s="132"/>
      <c r="HF729" s="132"/>
      <c r="HG729" s="132"/>
      <c r="HH729" s="132"/>
      <c r="HI729" s="132"/>
      <c r="HJ729" s="132"/>
      <c r="HK729" s="132"/>
      <c r="HL729" s="132"/>
      <c r="HM729" s="132"/>
      <c r="HN729" s="132"/>
      <c r="HO729" s="132"/>
      <c r="HP729" s="132"/>
      <c r="HQ729" s="132"/>
      <c r="HR729" s="132"/>
      <c r="HS729" s="132"/>
      <c r="HT729" s="132"/>
      <c r="HU729" s="132"/>
      <c r="HV729" s="132"/>
      <c r="HW729" s="132"/>
      <c r="HX729" s="132"/>
      <c r="HY729" s="132"/>
      <c r="HZ729" s="132"/>
      <c r="IA729" s="132"/>
      <c r="IB729" s="132"/>
      <c r="IC729" s="132"/>
      <c r="ID729" s="132"/>
      <c r="IE729" s="132"/>
      <c r="IF729" s="132"/>
      <c r="IG729" s="132"/>
      <c r="IH729" s="132"/>
      <c r="II729" s="132"/>
      <c r="IJ729" s="132"/>
      <c r="IK729" s="132"/>
      <c r="IL729" s="132"/>
      <c r="IM729" s="132"/>
      <c r="IN729" s="132"/>
      <c r="IO729" s="132"/>
      <c r="IP729" s="132"/>
      <c r="IQ729" s="132"/>
      <c r="IR729" s="132"/>
      <c r="IS729" s="132"/>
      <c r="IT729" s="132"/>
    </row>
    <row r="730" spans="1:256">
      <c r="A730" s="734" t="s">
        <v>377</v>
      </c>
      <c r="B730" s="146" t="s">
        <v>376</v>
      </c>
      <c r="C730" s="328">
        <v>1</v>
      </c>
      <c r="D730" s="329" t="s">
        <v>113</v>
      </c>
      <c r="E730" s="838"/>
      <c r="F730" s="911">
        <f t="shared" si="20"/>
        <v>0</v>
      </c>
      <c r="G730" s="159"/>
      <c r="H730" s="132"/>
      <c r="I730" s="132"/>
      <c r="J730" s="132"/>
      <c r="K730" s="132"/>
      <c r="L730" s="132"/>
      <c r="M730" s="132"/>
      <c r="N730" s="132"/>
      <c r="O730" s="132"/>
      <c r="P730" s="132"/>
      <c r="Q730" s="132"/>
      <c r="R730" s="132"/>
      <c r="S730" s="132"/>
      <c r="T730" s="132"/>
      <c r="U730" s="132"/>
      <c r="V730" s="132"/>
      <c r="W730" s="132"/>
      <c r="X730" s="132"/>
      <c r="Y730" s="132"/>
      <c r="Z730" s="132"/>
      <c r="AA730" s="132"/>
      <c r="AB730" s="132"/>
      <c r="AC730" s="132"/>
      <c r="AD730" s="132"/>
      <c r="AE730" s="132"/>
      <c r="AF730" s="132"/>
      <c r="AG730" s="132"/>
      <c r="AH730" s="132"/>
      <c r="AI730" s="132"/>
      <c r="AJ730" s="132"/>
      <c r="AK730" s="132"/>
      <c r="AL730" s="132"/>
      <c r="AM730" s="132"/>
      <c r="AN730" s="132"/>
      <c r="AO730" s="132"/>
      <c r="AP730" s="132"/>
      <c r="AQ730" s="132"/>
      <c r="AR730" s="132"/>
      <c r="AS730" s="132"/>
      <c r="AT730" s="132"/>
      <c r="AU730" s="132"/>
      <c r="AV730" s="132"/>
      <c r="AW730" s="132"/>
      <c r="AX730" s="132"/>
      <c r="AY730" s="132"/>
      <c r="AZ730" s="132"/>
      <c r="BA730" s="132"/>
      <c r="BB730" s="132"/>
      <c r="BC730" s="132"/>
      <c r="BD730" s="132"/>
      <c r="BE730" s="132"/>
      <c r="BF730" s="132"/>
      <c r="BG730" s="132"/>
      <c r="BH730" s="132"/>
      <c r="BI730" s="132"/>
      <c r="BJ730" s="132"/>
      <c r="BK730" s="132"/>
      <c r="BL730" s="132"/>
      <c r="BM730" s="132"/>
      <c r="BN730" s="132"/>
      <c r="BO730" s="132"/>
      <c r="BP730" s="132"/>
      <c r="BQ730" s="132"/>
      <c r="BR730" s="132"/>
      <c r="BS730" s="132"/>
      <c r="BT730" s="132"/>
      <c r="BU730" s="132"/>
      <c r="BV730" s="132"/>
      <c r="BW730" s="132"/>
      <c r="BX730" s="132"/>
      <c r="BY730" s="132"/>
      <c r="BZ730" s="132"/>
      <c r="CA730" s="132"/>
      <c r="CB730" s="132"/>
      <c r="CC730" s="132"/>
      <c r="CD730" s="132"/>
      <c r="CE730" s="132"/>
      <c r="CF730" s="132"/>
      <c r="CG730" s="132"/>
      <c r="CH730" s="132"/>
      <c r="CI730" s="132"/>
      <c r="CJ730" s="132"/>
      <c r="CK730" s="132"/>
      <c r="CL730" s="132"/>
      <c r="CM730" s="132"/>
      <c r="CN730" s="132"/>
      <c r="CO730" s="132"/>
      <c r="CP730" s="132"/>
      <c r="CQ730" s="132"/>
      <c r="CR730" s="132"/>
      <c r="CS730" s="132"/>
      <c r="CT730" s="132"/>
      <c r="CU730" s="132"/>
      <c r="CV730" s="132"/>
      <c r="CW730" s="132"/>
      <c r="CX730" s="132"/>
      <c r="CY730" s="132"/>
      <c r="CZ730" s="132"/>
      <c r="DA730" s="132"/>
      <c r="DB730" s="132"/>
      <c r="DC730" s="132"/>
      <c r="DD730" s="132"/>
      <c r="DE730" s="132"/>
      <c r="DF730" s="132"/>
      <c r="DG730" s="132"/>
      <c r="DH730" s="132"/>
      <c r="DI730" s="132"/>
      <c r="DJ730" s="132"/>
      <c r="DK730" s="132"/>
      <c r="DL730" s="132"/>
      <c r="DM730" s="132"/>
      <c r="DN730" s="132"/>
      <c r="DO730" s="132"/>
      <c r="DP730" s="132"/>
      <c r="DQ730" s="132"/>
      <c r="DR730" s="132"/>
      <c r="DS730" s="132"/>
      <c r="DT730" s="132"/>
      <c r="DU730" s="132"/>
      <c r="DV730" s="132"/>
      <c r="DW730" s="132"/>
      <c r="DX730" s="132"/>
      <c r="DY730" s="132"/>
      <c r="DZ730" s="132"/>
      <c r="EA730" s="132"/>
      <c r="EB730" s="132"/>
      <c r="EC730" s="132"/>
      <c r="ED730" s="132"/>
      <c r="EE730" s="132"/>
      <c r="EF730" s="132"/>
      <c r="EG730" s="132"/>
      <c r="EH730" s="132"/>
      <c r="EI730" s="132"/>
      <c r="EJ730" s="132"/>
      <c r="EK730" s="132"/>
      <c r="EL730" s="132"/>
      <c r="EM730" s="132"/>
      <c r="EN730" s="132"/>
      <c r="EO730" s="132"/>
      <c r="EP730" s="132"/>
      <c r="EQ730" s="132"/>
      <c r="ER730" s="132"/>
      <c r="ES730" s="132"/>
      <c r="ET730" s="132"/>
      <c r="EU730" s="132"/>
      <c r="EV730" s="132"/>
      <c r="EW730" s="132"/>
      <c r="EX730" s="132"/>
      <c r="EY730" s="132"/>
      <c r="EZ730" s="132"/>
      <c r="FA730" s="132"/>
      <c r="FB730" s="132"/>
      <c r="FC730" s="132"/>
      <c r="FD730" s="132"/>
      <c r="FE730" s="132"/>
      <c r="FF730" s="132"/>
      <c r="FG730" s="132"/>
      <c r="FH730" s="132"/>
      <c r="FI730" s="132"/>
      <c r="FJ730" s="132"/>
      <c r="FK730" s="132"/>
      <c r="FL730" s="132"/>
      <c r="FM730" s="132"/>
      <c r="FN730" s="132"/>
      <c r="FO730" s="132"/>
      <c r="FP730" s="132"/>
      <c r="FQ730" s="132"/>
      <c r="FR730" s="132"/>
      <c r="FS730" s="132"/>
      <c r="FT730" s="132"/>
      <c r="FU730" s="132"/>
      <c r="FV730" s="132"/>
      <c r="FW730" s="132"/>
      <c r="FX730" s="132"/>
      <c r="FY730" s="132"/>
      <c r="FZ730" s="132"/>
      <c r="GA730" s="132"/>
      <c r="GB730" s="132"/>
      <c r="GC730" s="132"/>
      <c r="GD730" s="132"/>
      <c r="GE730" s="132"/>
      <c r="GF730" s="132"/>
      <c r="GG730" s="132"/>
      <c r="GH730" s="132"/>
      <c r="GI730" s="132"/>
      <c r="GJ730" s="132"/>
      <c r="GK730" s="132"/>
      <c r="GL730" s="132"/>
      <c r="GM730" s="132"/>
      <c r="GN730" s="132"/>
      <c r="GO730" s="132"/>
      <c r="GP730" s="132"/>
      <c r="GQ730" s="132"/>
      <c r="GR730" s="132"/>
      <c r="GS730" s="132"/>
      <c r="GT730" s="132"/>
      <c r="GU730" s="132"/>
      <c r="GV730" s="132"/>
      <c r="GW730" s="132"/>
      <c r="GX730" s="132"/>
      <c r="GY730" s="132"/>
      <c r="GZ730" s="132"/>
      <c r="HA730" s="132"/>
      <c r="HB730" s="132"/>
      <c r="HC730" s="132"/>
      <c r="HD730" s="132"/>
      <c r="HE730" s="132"/>
      <c r="HF730" s="132"/>
      <c r="HG730" s="132"/>
      <c r="HH730" s="132"/>
      <c r="HI730" s="132"/>
      <c r="HJ730" s="132"/>
      <c r="HK730" s="132"/>
      <c r="HL730" s="132"/>
      <c r="HM730" s="132"/>
      <c r="HN730" s="132"/>
      <c r="HO730" s="132"/>
      <c r="HP730" s="132"/>
      <c r="HQ730" s="132"/>
      <c r="HR730" s="132"/>
      <c r="HS730" s="132"/>
      <c r="HT730" s="132"/>
      <c r="HU730" s="132"/>
      <c r="HV730" s="132"/>
      <c r="HW730" s="132"/>
      <c r="HX730" s="132"/>
      <c r="HY730" s="132"/>
      <c r="HZ730" s="132"/>
      <c r="IA730" s="132"/>
      <c r="IB730" s="132"/>
      <c r="IC730" s="132"/>
      <c r="ID730" s="132"/>
      <c r="IE730" s="132"/>
      <c r="IF730" s="132"/>
      <c r="IG730" s="132"/>
      <c r="IH730" s="132"/>
      <c r="II730" s="132"/>
      <c r="IJ730" s="132"/>
      <c r="IK730" s="132"/>
      <c r="IL730" s="132"/>
      <c r="IM730" s="132"/>
      <c r="IN730" s="132"/>
      <c r="IO730" s="132"/>
      <c r="IP730" s="132"/>
      <c r="IQ730" s="132"/>
      <c r="IR730" s="132"/>
      <c r="IS730" s="132"/>
      <c r="IT730" s="132"/>
    </row>
    <row r="731" spans="1:256">
      <c r="A731" s="734" t="s">
        <v>375</v>
      </c>
      <c r="B731" s="146" t="s">
        <v>374</v>
      </c>
      <c r="C731" s="328">
        <v>2</v>
      </c>
      <c r="D731" s="329" t="s">
        <v>113</v>
      </c>
      <c r="E731" s="828"/>
      <c r="F731" s="911">
        <f t="shared" si="20"/>
        <v>0</v>
      </c>
      <c r="G731" s="159"/>
      <c r="H731" s="132"/>
      <c r="I731" s="132"/>
      <c r="J731" s="132"/>
      <c r="K731" s="132"/>
      <c r="L731" s="132"/>
      <c r="M731" s="132"/>
      <c r="N731" s="132"/>
      <c r="O731" s="132"/>
      <c r="P731" s="132"/>
      <c r="Q731" s="132"/>
      <c r="R731" s="132"/>
      <c r="S731" s="132"/>
      <c r="T731" s="132"/>
      <c r="U731" s="132"/>
      <c r="V731" s="132"/>
      <c r="W731" s="132"/>
      <c r="X731" s="132"/>
      <c r="Y731" s="132"/>
      <c r="Z731" s="132"/>
      <c r="AA731" s="132"/>
      <c r="AB731" s="132"/>
      <c r="AC731" s="132"/>
      <c r="AD731" s="132"/>
      <c r="AE731" s="132"/>
      <c r="AF731" s="132"/>
      <c r="AG731" s="132"/>
      <c r="AH731" s="132"/>
      <c r="AI731" s="132"/>
      <c r="AJ731" s="132"/>
      <c r="AK731" s="132"/>
      <c r="AL731" s="132"/>
      <c r="AM731" s="132"/>
      <c r="AN731" s="132"/>
      <c r="AO731" s="132"/>
      <c r="AP731" s="132"/>
      <c r="AQ731" s="132"/>
      <c r="AR731" s="132"/>
      <c r="AS731" s="132"/>
      <c r="AT731" s="132"/>
      <c r="AU731" s="132"/>
      <c r="AV731" s="132"/>
      <c r="AW731" s="132"/>
      <c r="AX731" s="132"/>
      <c r="AY731" s="132"/>
      <c r="AZ731" s="132"/>
      <c r="BA731" s="132"/>
      <c r="BB731" s="132"/>
      <c r="BC731" s="132"/>
      <c r="BD731" s="132"/>
      <c r="BE731" s="132"/>
      <c r="BF731" s="132"/>
      <c r="BG731" s="132"/>
      <c r="BH731" s="132"/>
      <c r="BI731" s="132"/>
      <c r="BJ731" s="132"/>
      <c r="BK731" s="132"/>
      <c r="BL731" s="132"/>
      <c r="BM731" s="132"/>
      <c r="BN731" s="132"/>
      <c r="BO731" s="132"/>
      <c r="BP731" s="132"/>
      <c r="BQ731" s="132"/>
      <c r="BR731" s="132"/>
      <c r="BS731" s="132"/>
      <c r="BT731" s="132"/>
      <c r="BU731" s="132"/>
      <c r="BV731" s="132"/>
      <c r="BW731" s="132"/>
      <c r="BX731" s="132"/>
      <c r="BY731" s="132"/>
      <c r="BZ731" s="132"/>
      <c r="CA731" s="132"/>
      <c r="CB731" s="132"/>
      <c r="CC731" s="132"/>
      <c r="CD731" s="132"/>
      <c r="CE731" s="132"/>
      <c r="CF731" s="132"/>
      <c r="CG731" s="132"/>
      <c r="CH731" s="132"/>
      <c r="CI731" s="132"/>
      <c r="CJ731" s="132"/>
      <c r="CK731" s="132"/>
      <c r="CL731" s="132"/>
      <c r="CM731" s="132"/>
      <c r="CN731" s="132"/>
      <c r="CO731" s="132"/>
      <c r="CP731" s="132"/>
      <c r="CQ731" s="132"/>
      <c r="CR731" s="132"/>
      <c r="CS731" s="132"/>
      <c r="CT731" s="132"/>
      <c r="CU731" s="132"/>
      <c r="CV731" s="132"/>
      <c r="CW731" s="132"/>
      <c r="CX731" s="132"/>
      <c r="CY731" s="132"/>
      <c r="CZ731" s="132"/>
      <c r="DA731" s="132"/>
      <c r="DB731" s="132"/>
      <c r="DC731" s="132"/>
      <c r="DD731" s="132"/>
      <c r="DE731" s="132"/>
      <c r="DF731" s="132"/>
      <c r="DG731" s="132"/>
      <c r="DH731" s="132"/>
      <c r="DI731" s="132"/>
      <c r="DJ731" s="132"/>
      <c r="DK731" s="132"/>
      <c r="DL731" s="132"/>
      <c r="DM731" s="132"/>
      <c r="DN731" s="132"/>
      <c r="DO731" s="132"/>
      <c r="DP731" s="132"/>
      <c r="DQ731" s="132"/>
      <c r="DR731" s="132"/>
      <c r="DS731" s="132"/>
      <c r="DT731" s="132"/>
      <c r="DU731" s="132"/>
      <c r="DV731" s="132"/>
      <c r="DW731" s="132"/>
      <c r="DX731" s="132"/>
      <c r="DY731" s="132"/>
      <c r="DZ731" s="132"/>
      <c r="EA731" s="132"/>
      <c r="EB731" s="132"/>
      <c r="EC731" s="132"/>
      <c r="ED731" s="132"/>
      <c r="EE731" s="132"/>
      <c r="EF731" s="132"/>
      <c r="EG731" s="132"/>
      <c r="EH731" s="132"/>
      <c r="EI731" s="132"/>
      <c r="EJ731" s="132"/>
      <c r="EK731" s="132"/>
      <c r="EL731" s="132"/>
      <c r="EM731" s="132"/>
      <c r="EN731" s="132"/>
      <c r="EO731" s="132"/>
      <c r="EP731" s="132"/>
      <c r="EQ731" s="132"/>
      <c r="ER731" s="132"/>
      <c r="ES731" s="132"/>
      <c r="ET731" s="132"/>
      <c r="EU731" s="132"/>
      <c r="EV731" s="132"/>
      <c r="EW731" s="132"/>
      <c r="EX731" s="132"/>
      <c r="EY731" s="132"/>
      <c r="EZ731" s="132"/>
      <c r="FA731" s="132"/>
      <c r="FB731" s="132"/>
      <c r="FC731" s="132"/>
      <c r="FD731" s="132"/>
      <c r="FE731" s="132"/>
      <c r="FF731" s="132"/>
      <c r="FG731" s="132"/>
      <c r="FH731" s="132"/>
      <c r="FI731" s="132"/>
      <c r="FJ731" s="132"/>
      <c r="FK731" s="132"/>
      <c r="FL731" s="132"/>
      <c r="FM731" s="132"/>
      <c r="FN731" s="132"/>
      <c r="FO731" s="132"/>
      <c r="FP731" s="132"/>
      <c r="FQ731" s="132"/>
      <c r="FR731" s="132"/>
      <c r="FS731" s="132"/>
      <c r="FT731" s="132"/>
      <c r="FU731" s="132"/>
      <c r="FV731" s="132"/>
      <c r="FW731" s="132"/>
      <c r="FX731" s="132"/>
      <c r="FY731" s="132"/>
      <c r="FZ731" s="132"/>
      <c r="GA731" s="132"/>
      <c r="GB731" s="132"/>
      <c r="GC731" s="132"/>
      <c r="GD731" s="132"/>
      <c r="GE731" s="132"/>
      <c r="GF731" s="132"/>
      <c r="GG731" s="132"/>
      <c r="GH731" s="132"/>
      <c r="GI731" s="132"/>
      <c r="GJ731" s="132"/>
      <c r="GK731" s="132"/>
      <c r="GL731" s="132"/>
      <c r="GM731" s="132"/>
      <c r="GN731" s="132"/>
      <c r="GO731" s="132"/>
      <c r="GP731" s="132"/>
      <c r="GQ731" s="132"/>
      <c r="GR731" s="132"/>
      <c r="GS731" s="132"/>
      <c r="GT731" s="132"/>
      <c r="GU731" s="132"/>
      <c r="GV731" s="132"/>
      <c r="GW731" s="132"/>
      <c r="GX731" s="132"/>
      <c r="GY731" s="132"/>
      <c r="GZ731" s="132"/>
      <c r="HA731" s="132"/>
      <c r="HB731" s="132"/>
      <c r="HC731" s="132"/>
      <c r="HD731" s="132"/>
      <c r="HE731" s="132"/>
      <c r="HF731" s="132"/>
      <c r="HG731" s="132"/>
      <c r="HH731" s="132"/>
      <c r="HI731" s="132"/>
      <c r="HJ731" s="132"/>
      <c r="HK731" s="132"/>
      <c r="HL731" s="132"/>
      <c r="HM731" s="132"/>
      <c r="HN731" s="132"/>
      <c r="HO731" s="132"/>
      <c r="HP731" s="132"/>
      <c r="HQ731" s="132"/>
      <c r="HR731" s="132"/>
      <c r="HS731" s="132"/>
      <c r="HT731" s="132"/>
      <c r="HU731" s="132"/>
      <c r="HV731" s="132"/>
      <c r="HW731" s="132"/>
      <c r="HX731" s="132"/>
      <c r="HY731" s="132"/>
      <c r="HZ731" s="132"/>
      <c r="IA731" s="132"/>
      <c r="IB731" s="132"/>
      <c r="IC731" s="132"/>
      <c r="ID731" s="132"/>
      <c r="IE731" s="132"/>
      <c r="IF731" s="132"/>
      <c r="IG731" s="132"/>
      <c r="IH731" s="132"/>
      <c r="II731" s="132"/>
      <c r="IJ731" s="132"/>
      <c r="IK731" s="132"/>
      <c r="IL731" s="132"/>
      <c r="IM731" s="132"/>
      <c r="IN731" s="132"/>
      <c r="IO731" s="132"/>
      <c r="IP731" s="132"/>
      <c r="IQ731" s="132"/>
      <c r="IR731" s="132"/>
      <c r="IS731" s="132"/>
      <c r="IT731" s="132"/>
    </row>
    <row r="732" spans="1:256">
      <c r="A732" s="734"/>
      <c r="B732" s="146"/>
      <c r="C732" s="340"/>
      <c r="D732" s="329"/>
      <c r="E732" s="833"/>
      <c r="F732" s="908"/>
      <c r="G732" s="159"/>
      <c r="H732" s="132"/>
      <c r="I732" s="132"/>
      <c r="J732" s="132"/>
      <c r="K732" s="132"/>
      <c r="L732" s="132"/>
      <c r="M732" s="132"/>
      <c r="N732" s="132"/>
      <c r="O732" s="132"/>
      <c r="P732" s="132"/>
      <c r="Q732" s="132"/>
      <c r="R732" s="132"/>
      <c r="S732" s="132"/>
      <c r="T732" s="132"/>
      <c r="U732" s="132"/>
      <c r="V732" s="132"/>
      <c r="W732" s="132"/>
      <c r="X732" s="132"/>
      <c r="Y732" s="132"/>
      <c r="Z732" s="132"/>
      <c r="AA732" s="132"/>
      <c r="AB732" s="132"/>
      <c r="AC732" s="132"/>
      <c r="AD732" s="132"/>
      <c r="AE732" s="132"/>
      <c r="AF732" s="132"/>
      <c r="AG732" s="132"/>
      <c r="AH732" s="132"/>
      <c r="AI732" s="132"/>
      <c r="AJ732" s="132"/>
      <c r="AK732" s="132"/>
      <c r="AL732" s="132"/>
      <c r="AM732" s="132"/>
      <c r="AN732" s="132"/>
      <c r="AO732" s="132"/>
      <c r="AP732" s="132"/>
      <c r="AQ732" s="132"/>
      <c r="AR732" s="132"/>
      <c r="AS732" s="132"/>
      <c r="AT732" s="132"/>
      <c r="AU732" s="132"/>
      <c r="AV732" s="132"/>
      <c r="AW732" s="132"/>
      <c r="AX732" s="132"/>
      <c r="AY732" s="132"/>
      <c r="AZ732" s="132"/>
      <c r="BA732" s="132"/>
      <c r="BB732" s="132"/>
      <c r="BC732" s="132"/>
      <c r="BD732" s="132"/>
      <c r="BE732" s="132"/>
      <c r="BF732" s="132"/>
      <c r="BG732" s="132"/>
      <c r="BH732" s="132"/>
      <c r="BI732" s="132"/>
      <c r="BJ732" s="132"/>
      <c r="BK732" s="132"/>
      <c r="BL732" s="132"/>
      <c r="BM732" s="132"/>
      <c r="BN732" s="132"/>
      <c r="BO732" s="132"/>
      <c r="BP732" s="132"/>
      <c r="BQ732" s="132"/>
      <c r="BR732" s="132"/>
      <c r="BS732" s="132"/>
      <c r="BT732" s="132"/>
      <c r="BU732" s="132"/>
      <c r="BV732" s="132"/>
      <c r="BW732" s="132"/>
      <c r="BX732" s="132"/>
      <c r="BY732" s="132"/>
      <c r="BZ732" s="132"/>
      <c r="CA732" s="132"/>
      <c r="CB732" s="132"/>
      <c r="CC732" s="132"/>
      <c r="CD732" s="132"/>
      <c r="CE732" s="132"/>
      <c r="CF732" s="132"/>
      <c r="CG732" s="132"/>
      <c r="CH732" s="132"/>
      <c r="CI732" s="132"/>
      <c r="CJ732" s="132"/>
      <c r="CK732" s="132"/>
      <c r="CL732" s="132"/>
      <c r="CM732" s="132"/>
      <c r="CN732" s="132"/>
      <c r="CO732" s="132"/>
      <c r="CP732" s="132"/>
      <c r="CQ732" s="132"/>
      <c r="CR732" s="132"/>
      <c r="CS732" s="132"/>
      <c r="CT732" s="132"/>
      <c r="CU732" s="132"/>
      <c r="CV732" s="132"/>
      <c r="CW732" s="132"/>
      <c r="CX732" s="132"/>
      <c r="CY732" s="132"/>
      <c r="CZ732" s="132"/>
      <c r="DA732" s="132"/>
      <c r="DB732" s="132"/>
      <c r="DC732" s="132"/>
      <c r="DD732" s="132"/>
      <c r="DE732" s="132"/>
      <c r="DF732" s="132"/>
      <c r="DG732" s="132"/>
      <c r="DH732" s="132"/>
      <c r="DI732" s="132"/>
      <c r="DJ732" s="132"/>
      <c r="DK732" s="132"/>
      <c r="DL732" s="132"/>
      <c r="DM732" s="132"/>
      <c r="DN732" s="132"/>
      <c r="DO732" s="132"/>
      <c r="DP732" s="132"/>
      <c r="DQ732" s="132"/>
      <c r="DR732" s="132"/>
      <c r="DS732" s="132"/>
      <c r="DT732" s="132"/>
      <c r="DU732" s="132"/>
      <c r="DV732" s="132"/>
      <c r="DW732" s="132"/>
      <c r="DX732" s="132"/>
      <c r="DY732" s="132"/>
      <c r="DZ732" s="132"/>
      <c r="EA732" s="132"/>
      <c r="EB732" s="132"/>
      <c r="EC732" s="132"/>
      <c r="ED732" s="132"/>
      <c r="EE732" s="132"/>
      <c r="EF732" s="132"/>
      <c r="EG732" s="132"/>
      <c r="EH732" s="132"/>
      <c r="EI732" s="132"/>
      <c r="EJ732" s="132"/>
      <c r="EK732" s="132"/>
      <c r="EL732" s="132"/>
      <c r="EM732" s="132"/>
      <c r="EN732" s="132"/>
      <c r="EO732" s="132"/>
      <c r="EP732" s="132"/>
      <c r="EQ732" s="132"/>
      <c r="ER732" s="132"/>
      <c r="ES732" s="132"/>
      <c r="ET732" s="132"/>
      <c r="EU732" s="132"/>
      <c r="EV732" s="132"/>
      <c r="EW732" s="132"/>
      <c r="EX732" s="132"/>
      <c r="EY732" s="132"/>
      <c r="EZ732" s="132"/>
      <c r="FA732" s="132"/>
      <c r="FB732" s="132"/>
      <c r="FC732" s="132"/>
      <c r="FD732" s="132"/>
      <c r="FE732" s="132"/>
      <c r="FF732" s="132"/>
      <c r="FG732" s="132"/>
      <c r="FH732" s="132"/>
      <c r="FI732" s="132"/>
      <c r="FJ732" s="132"/>
      <c r="FK732" s="132"/>
      <c r="FL732" s="132"/>
      <c r="FM732" s="132"/>
      <c r="FN732" s="132"/>
      <c r="FO732" s="132"/>
      <c r="FP732" s="132"/>
      <c r="FQ732" s="132"/>
      <c r="FR732" s="132"/>
      <c r="FS732" s="132"/>
      <c r="FT732" s="132"/>
      <c r="FU732" s="132"/>
      <c r="FV732" s="132"/>
      <c r="FW732" s="132"/>
      <c r="FX732" s="132"/>
      <c r="FY732" s="132"/>
      <c r="FZ732" s="132"/>
      <c r="GA732" s="132"/>
      <c r="GB732" s="132"/>
      <c r="GC732" s="132"/>
      <c r="GD732" s="132"/>
      <c r="GE732" s="132"/>
      <c r="GF732" s="132"/>
      <c r="GG732" s="132"/>
      <c r="GH732" s="132"/>
      <c r="GI732" s="132"/>
      <c r="GJ732" s="132"/>
      <c r="GK732" s="132"/>
      <c r="GL732" s="132"/>
      <c r="GM732" s="132"/>
      <c r="GN732" s="132"/>
      <c r="GO732" s="132"/>
      <c r="GP732" s="132"/>
      <c r="GQ732" s="132"/>
      <c r="GR732" s="132"/>
      <c r="GS732" s="132"/>
      <c r="GT732" s="132"/>
      <c r="GU732" s="132"/>
      <c r="GV732" s="132"/>
      <c r="GW732" s="132"/>
      <c r="GX732" s="132"/>
      <c r="GY732" s="132"/>
      <c r="GZ732" s="132"/>
      <c r="HA732" s="132"/>
      <c r="HB732" s="132"/>
      <c r="HC732" s="132"/>
      <c r="HD732" s="132"/>
      <c r="HE732" s="132"/>
      <c r="HF732" s="132"/>
      <c r="HG732" s="132"/>
      <c r="HH732" s="132"/>
      <c r="HI732" s="132"/>
      <c r="HJ732" s="132"/>
      <c r="HK732" s="132"/>
      <c r="HL732" s="132"/>
      <c r="HM732" s="132"/>
      <c r="HN732" s="132"/>
      <c r="HO732" s="132"/>
      <c r="HP732" s="132"/>
      <c r="HQ732" s="132"/>
      <c r="HR732" s="132"/>
      <c r="HS732" s="132"/>
      <c r="HT732" s="132"/>
      <c r="HU732" s="132"/>
      <c r="HV732" s="132"/>
      <c r="HW732" s="132"/>
      <c r="HX732" s="132"/>
      <c r="HY732" s="132"/>
      <c r="HZ732" s="132"/>
      <c r="IA732" s="132"/>
      <c r="IB732" s="132"/>
      <c r="IC732" s="132"/>
      <c r="ID732" s="132"/>
      <c r="IE732" s="132"/>
      <c r="IF732" s="132"/>
      <c r="IG732" s="132"/>
      <c r="IH732" s="132"/>
      <c r="II732" s="132"/>
      <c r="IJ732" s="132"/>
      <c r="IK732" s="132"/>
      <c r="IL732" s="132"/>
      <c r="IM732" s="132"/>
      <c r="IN732" s="132"/>
      <c r="IO732" s="132"/>
      <c r="IP732" s="132"/>
      <c r="IQ732" s="132"/>
      <c r="IR732" s="132"/>
      <c r="IS732" s="132"/>
      <c r="IT732" s="132"/>
    </row>
    <row r="733" spans="1:256">
      <c r="A733" s="331" t="s">
        <v>131</v>
      </c>
      <c r="B733" s="526" t="s">
        <v>373</v>
      </c>
      <c r="C733" s="777"/>
      <c r="D733" s="778"/>
      <c r="E733" s="843"/>
      <c r="F733" s="915">
        <f>SUM(F717:F732)</f>
        <v>0</v>
      </c>
      <c r="G733" s="159"/>
      <c r="H733" s="132"/>
      <c r="I733" s="132"/>
      <c r="J733" s="132"/>
      <c r="K733" s="132"/>
      <c r="L733" s="132"/>
      <c r="M733" s="132"/>
      <c r="N733" s="132"/>
      <c r="O733" s="132"/>
      <c r="P733" s="132"/>
      <c r="Q733" s="132"/>
      <c r="R733" s="132"/>
      <c r="S733" s="132"/>
      <c r="T733" s="132"/>
      <c r="U733" s="132"/>
      <c r="V733" s="132"/>
      <c r="W733" s="132"/>
      <c r="X733" s="132"/>
      <c r="Y733" s="132"/>
      <c r="Z733" s="132"/>
      <c r="AA733" s="132"/>
      <c r="AB733" s="132"/>
      <c r="AC733" s="132"/>
      <c r="AD733" s="132"/>
      <c r="AE733" s="132"/>
      <c r="AF733" s="132"/>
      <c r="AG733" s="132"/>
      <c r="AH733" s="132"/>
      <c r="AI733" s="132"/>
      <c r="AJ733" s="132"/>
      <c r="AK733" s="132"/>
      <c r="AL733" s="132"/>
      <c r="AM733" s="132"/>
      <c r="AN733" s="132"/>
      <c r="AO733" s="132"/>
      <c r="AP733" s="132"/>
      <c r="AQ733" s="132"/>
      <c r="AR733" s="132"/>
      <c r="AS733" s="132"/>
      <c r="AT733" s="132"/>
      <c r="AU733" s="132"/>
      <c r="AV733" s="132"/>
      <c r="AW733" s="132"/>
      <c r="AX733" s="132"/>
      <c r="AY733" s="132"/>
      <c r="AZ733" s="132"/>
      <c r="BA733" s="132"/>
      <c r="BB733" s="132"/>
      <c r="BC733" s="132"/>
      <c r="BD733" s="132"/>
      <c r="BE733" s="132"/>
      <c r="BF733" s="132"/>
      <c r="BG733" s="132"/>
      <c r="BH733" s="132"/>
      <c r="BI733" s="132"/>
      <c r="BJ733" s="132"/>
      <c r="BK733" s="132"/>
      <c r="BL733" s="132"/>
      <c r="BM733" s="132"/>
      <c r="BN733" s="132"/>
      <c r="BO733" s="132"/>
      <c r="BP733" s="132"/>
      <c r="BQ733" s="132"/>
      <c r="BR733" s="132"/>
      <c r="BS733" s="132"/>
      <c r="BT733" s="132"/>
      <c r="BU733" s="132"/>
      <c r="BV733" s="132"/>
      <c r="BW733" s="132"/>
      <c r="BX733" s="132"/>
      <c r="BY733" s="132"/>
      <c r="BZ733" s="132"/>
      <c r="CA733" s="132"/>
      <c r="CB733" s="132"/>
      <c r="CC733" s="132"/>
      <c r="CD733" s="132"/>
      <c r="CE733" s="132"/>
      <c r="CF733" s="132"/>
      <c r="CG733" s="132"/>
      <c r="CH733" s="132"/>
      <c r="CI733" s="132"/>
      <c r="CJ733" s="132"/>
      <c r="CK733" s="132"/>
      <c r="CL733" s="132"/>
      <c r="CM733" s="132"/>
      <c r="CN733" s="132"/>
      <c r="CO733" s="132"/>
      <c r="CP733" s="132"/>
      <c r="CQ733" s="132"/>
      <c r="CR733" s="132"/>
      <c r="CS733" s="132"/>
      <c r="CT733" s="132"/>
      <c r="CU733" s="132"/>
      <c r="CV733" s="132"/>
      <c r="CW733" s="132"/>
      <c r="CX733" s="132"/>
      <c r="CY733" s="132"/>
      <c r="CZ733" s="132"/>
      <c r="DA733" s="132"/>
      <c r="DB733" s="132"/>
      <c r="DC733" s="132"/>
      <c r="DD733" s="132"/>
      <c r="DE733" s="132"/>
      <c r="DF733" s="132"/>
      <c r="DG733" s="132"/>
      <c r="DH733" s="132"/>
      <c r="DI733" s="132"/>
      <c r="DJ733" s="132"/>
      <c r="DK733" s="132"/>
      <c r="DL733" s="132"/>
      <c r="DM733" s="132"/>
      <c r="DN733" s="132"/>
      <c r="DO733" s="132"/>
      <c r="DP733" s="132"/>
      <c r="DQ733" s="132"/>
      <c r="DR733" s="132"/>
      <c r="DS733" s="132"/>
      <c r="DT733" s="132"/>
      <c r="DU733" s="132"/>
      <c r="DV733" s="132"/>
      <c r="DW733" s="132"/>
      <c r="DX733" s="132"/>
      <c r="DY733" s="132"/>
      <c r="DZ733" s="132"/>
      <c r="EA733" s="132"/>
      <c r="EB733" s="132"/>
      <c r="EC733" s="132"/>
      <c r="ED733" s="132"/>
      <c r="EE733" s="132"/>
      <c r="EF733" s="132"/>
      <c r="EG733" s="132"/>
      <c r="EH733" s="132"/>
      <c r="EI733" s="132"/>
      <c r="EJ733" s="132"/>
      <c r="EK733" s="132"/>
      <c r="EL733" s="132"/>
      <c r="EM733" s="132"/>
      <c r="EN733" s="132"/>
      <c r="EO733" s="132"/>
      <c r="EP733" s="132"/>
      <c r="EQ733" s="132"/>
      <c r="ER733" s="132"/>
      <c r="ES733" s="132"/>
      <c r="ET733" s="132"/>
      <c r="EU733" s="132"/>
      <c r="EV733" s="132"/>
      <c r="EW733" s="132"/>
      <c r="EX733" s="132"/>
      <c r="EY733" s="132"/>
      <c r="EZ733" s="132"/>
      <c r="FA733" s="132"/>
      <c r="FB733" s="132"/>
      <c r="FC733" s="132"/>
      <c r="FD733" s="132"/>
      <c r="FE733" s="132"/>
      <c r="FF733" s="132"/>
      <c r="FG733" s="132"/>
      <c r="FH733" s="132"/>
      <c r="FI733" s="132"/>
      <c r="FJ733" s="132"/>
      <c r="FK733" s="132"/>
      <c r="FL733" s="132"/>
      <c r="FM733" s="132"/>
      <c r="FN733" s="132"/>
      <c r="FO733" s="132"/>
      <c r="FP733" s="132"/>
      <c r="FQ733" s="132"/>
      <c r="FR733" s="132"/>
      <c r="FS733" s="132"/>
      <c r="FT733" s="132"/>
      <c r="FU733" s="132"/>
      <c r="FV733" s="132"/>
      <c r="FW733" s="132"/>
      <c r="FX733" s="132"/>
      <c r="FY733" s="132"/>
      <c r="FZ733" s="132"/>
      <c r="GA733" s="132"/>
      <c r="GB733" s="132"/>
      <c r="GC733" s="132"/>
      <c r="GD733" s="132"/>
      <c r="GE733" s="132"/>
      <c r="GF733" s="132"/>
      <c r="GG733" s="132"/>
      <c r="GH733" s="132"/>
      <c r="GI733" s="132"/>
      <c r="GJ733" s="132"/>
      <c r="GK733" s="132"/>
      <c r="GL733" s="132"/>
      <c r="GM733" s="132"/>
      <c r="GN733" s="132"/>
      <c r="GO733" s="132"/>
      <c r="GP733" s="132"/>
      <c r="GQ733" s="132"/>
      <c r="GR733" s="132"/>
      <c r="GS733" s="132"/>
      <c r="GT733" s="132"/>
      <c r="GU733" s="132"/>
      <c r="GV733" s="132"/>
      <c r="GW733" s="132"/>
      <c r="GX733" s="132"/>
      <c r="GY733" s="132"/>
      <c r="GZ733" s="132"/>
      <c r="HA733" s="132"/>
      <c r="HB733" s="132"/>
      <c r="HC733" s="132"/>
      <c r="HD733" s="132"/>
      <c r="HE733" s="132"/>
      <c r="HF733" s="132"/>
      <c r="HG733" s="132"/>
      <c r="HH733" s="132"/>
      <c r="HI733" s="132"/>
      <c r="HJ733" s="132"/>
      <c r="HK733" s="132"/>
      <c r="HL733" s="132"/>
      <c r="HM733" s="132"/>
      <c r="HN733" s="132"/>
      <c r="HO733" s="132"/>
      <c r="HP733" s="132"/>
      <c r="HQ733" s="132"/>
      <c r="HR733" s="132"/>
      <c r="HS733" s="132"/>
      <c r="HT733" s="132"/>
      <c r="HU733" s="132"/>
      <c r="HV733" s="132"/>
      <c r="HW733" s="132"/>
      <c r="HX733" s="132"/>
      <c r="HY733" s="132"/>
      <c r="HZ733" s="132"/>
      <c r="IA733" s="132"/>
      <c r="IB733" s="132"/>
      <c r="IC733" s="132"/>
      <c r="ID733" s="132"/>
      <c r="IE733" s="132"/>
      <c r="IF733" s="132"/>
      <c r="IG733" s="132"/>
      <c r="IH733" s="132"/>
      <c r="II733" s="132"/>
      <c r="IJ733" s="132"/>
      <c r="IK733" s="132"/>
      <c r="IL733" s="132"/>
      <c r="IM733" s="132"/>
      <c r="IN733" s="132"/>
      <c r="IO733" s="132"/>
      <c r="IP733" s="132"/>
      <c r="IQ733" s="132"/>
      <c r="IR733" s="132"/>
      <c r="IS733" s="132"/>
      <c r="IT733" s="132"/>
    </row>
    <row r="734" spans="1:256">
      <c r="A734" s="578"/>
      <c r="B734" s="578"/>
      <c r="C734" s="779"/>
      <c r="D734" s="780"/>
      <c r="E734" s="843"/>
      <c r="F734" s="917"/>
      <c r="G734" s="159"/>
      <c r="H734" s="132"/>
      <c r="I734" s="132"/>
      <c r="J734" s="132"/>
      <c r="K734" s="132"/>
      <c r="L734" s="132"/>
      <c r="M734" s="132"/>
      <c r="N734" s="132"/>
      <c r="O734" s="132"/>
      <c r="P734" s="132"/>
      <c r="Q734" s="132"/>
      <c r="R734" s="132"/>
      <c r="S734" s="132"/>
      <c r="T734" s="132"/>
      <c r="U734" s="132"/>
      <c r="V734" s="132"/>
      <c r="W734" s="132"/>
      <c r="X734" s="132"/>
      <c r="Y734" s="132"/>
      <c r="Z734" s="132"/>
      <c r="AA734" s="132"/>
      <c r="AB734" s="132"/>
      <c r="AC734" s="132"/>
      <c r="AD734" s="132"/>
      <c r="AE734" s="132"/>
      <c r="AF734" s="132"/>
      <c r="AG734" s="132"/>
      <c r="AH734" s="132"/>
      <c r="AI734" s="132"/>
      <c r="AJ734" s="132"/>
      <c r="AK734" s="132"/>
      <c r="AL734" s="132"/>
      <c r="AM734" s="132"/>
      <c r="AN734" s="132"/>
      <c r="AO734" s="132"/>
      <c r="AP734" s="132"/>
      <c r="AQ734" s="132"/>
      <c r="AR734" s="132"/>
      <c r="AS734" s="132"/>
      <c r="AT734" s="132"/>
      <c r="AU734" s="132"/>
      <c r="AV734" s="132"/>
      <c r="AW734" s="132"/>
      <c r="AX734" s="132"/>
      <c r="AY734" s="132"/>
      <c r="AZ734" s="132"/>
      <c r="BA734" s="132"/>
      <c r="BB734" s="132"/>
      <c r="BC734" s="132"/>
      <c r="BD734" s="132"/>
      <c r="BE734" s="132"/>
      <c r="BF734" s="132"/>
      <c r="BG734" s="132"/>
      <c r="BH734" s="132"/>
      <c r="BI734" s="132"/>
      <c r="BJ734" s="132"/>
      <c r="BK734" s="132"/>
      <c r="BL734" s="132"/>
      <c r="BM734" s="132"/>
      <c r="BN734" s="132"/>
      <c r="BO734" s="132"/>
      <c r="BP734" s="132"/>
      <c r="BQ734" s="132"/>
      <c r="BR734" s="132"/>
      <c r="BS734" s="132"/>
      <c r="BT734" s="132"/>
      <c r="BU734" s="132"/>
      <c r="BV734" s="132"/>
      <c r="BW734" s="132"/>
      <c r="BX734" s="132"/>
      <c r="BY734" s="132"/>
      <c r="BZ734" s="132"/>
      <c r="CA734" s="132"/>
      <c r="CB734" s="132"/>
      <c r="CC734" s="132"/>
      <c r="CD734" s="132"/>
      <c r="CE734" s="132"/>
      <c r="CF734" s="132"/>
      <c r="CG734" s="132"/>
      <c r="CH734" s="132"/>
      <c r="CI734" s="132"/>
      <c r="CJ734" s="132"/>
      <c r="CK734" s="132"/>
      <c r="CL734" s="132"/>
      <c r="CM734" s="132"/>
      <c r="CN734" s="132"/>
      <c r="CO734" s="132"/>
      <c r="CP734" s="132"/>
      <c r="CQ734" s="132"/>
      <c r="CR734" s="132"/>
      <c r="CS734" s="132"/>
      <c r="CT734" s="132"/>
      <c r="CU734" s="132"/>
      <c r="CV734" s="132"/>
      <c r="CW734" s="132"/>
      <c r="CX734" s="132"/>
      <c r="CY734" s="132"/>
      <c r="CZ734" s="132"/>
      <c r="DA734" s="132"/>
      <c r="DB734" s="132"/>
      <c r="DC734" s="132"/>
      <c r="DD734" s="132"/>
      <c r="DE734" s="132"/>
      <c r="DF734" s="132"/>
      <c r="DG734" s="132"/>
      <c r="DH734" s="132"/>
      <c r="DI734" s="132"/>
      <c r="DJ734" s="132"/>
      <c r="DK734" s="132"/>
      <c r="DL734" s="132"/>
      <c r="DM734" s="132"/>
      <c r="DN734" s="132"/>
      <c r="DO734" s="132"/>
      <c r="DP734" s="132"/>
      <c r="DQ734" s="132"/>
      <c r="DR734" s="132"/>
      <c r="DS734" s="132"/>
      <c r="DT734" s="132"/>
      <c r="DU734" s="132"/>
      <c r="DV734" s="132"/>
      <c r="DW734" s="132"/>
      <c r="DX734" s="132"/>
      <c r="DY734" s="132"/>
      <c r="DZ734" s="132"/>
      <c r="EA734" s="132"/>
      <c r="EB734" s="132"/>
      <c r="EC734" s="132"/>
      <c r="ED734" s="132"/>
      <c r="EE734" s="132"/>
      <c r="EF734" s="132"/>
      <c r="EG734" s="132"/>
      <c r="EH734" s="132"/>
      <c r="EI734" s="132"/>
      <c r="EJ734" s="132"/>
      <c r="EK734" s="132"/>
      <c r="EL734" s="132"/>
      <c r="EM734" s="132"/>
      <c r="EN734" s="132"/>
      <c r="EO734" s="132"/>
      <c r="EP734" s="132"/>
      <c r="EQ734" s="132"/>
      <c r="ER734" s="132"/>
      <c r="ES734" s="132"/>
      <c r="ET734" s="132"/>
      <c r="EU734" s="132"/>
      <c r="EV734" s="132"/>
      <c r="EW734" s="132"/>
      <c r="EX734" s="132"/>
      <c r="EY734" s="132"/>
      <c r="EZ734" s="132"/>
      <c r="FA734" s="132"/>
      <c r="FB734" s="132"/>
      <c r="FC734" s="132"/>
      <c r="FD734" s="132"/>
      <c r="FE734" s="132"/>
      <c r="FF734" s="132"/>
      <c r="FG734" s="132"/>
      <c r="FH734" s="132"/>
      <c r="FI734" s="132"/>
      <c r="FJ734" s="132"/>
      <c r="FK734" s="132"/>
      <c r="FL734" s="132"/>
      <c r="FM734" s="132"/>
      <c r="FN734" s="132"/>
      <c r="FO734" s="132"/>
      <c r="FP734" s="132"/>
      <c r="FQ734" s="132"/>
      <c r="FR734" s="132"/>
      <c r="FS734" s="132"/>
      <c r="FT734" s="132"/>
      <c r="FU734" s="132"/>
      <c r="FV734" s="132"/>
      <c r="FW734" s="132"/>
      <c r="FX734" s="132"/>
      <c r="FY734" s="132"/>
      <c r="FZ734" s="132"/>
      <c r="GA734" s="132"/>
      <c r="GB734" s="132"/>
      <c r="GC734" s="132"/>
      <c r="GD734" s="132"/>
      <c r="GE734" s="132"/>
      <c r="GF734" s="132"/>
      <c r="GG734" s="132"/>
      <c r="GH734" s="132"/>
      <c r="GI734" s="132"/>
      <c r="GJ734" s="132"/>
      <c r="GK734" s="132"/>
      <c r="GL734" s="132"/>
      <c r="GM734" s="132"/>
      <c r="GN734" s="132"/>
      <c r="GO734" s="132"/>
      <c r="GP734" s="132"/>
      <c r="GQ734" s="132"/>
      <c r="GR734" s="132"/>
      <c r="GS734" s="132"/>
      <c r="GT734" s="132"/>
      <c r="GU734" s="132"/>
      <c r="GV734" s="132"/>
      <c r="GW734" s="132"/>
      <c r="GX734" s="132"/>
      <c r="GY734" s="132"/>
      <c r="GZ734" s="132"/>
      <c r="HA734" s="132"/>
      <c r="HB734" s="132"/>
      <c r="HC734" s="132"/>
      <c r="HD734" s="132"/>
      <c r="HE734" s="132"/>
      <c r="HF734" s="132"/>
      <c r="HG734" s="132"/>
      <c r="HH734" s="132"/>
      <c r="HI734" s="132"/>
      <c r="HJ734" s="132"/>
      <c r="HK734" s="132"/>
      <c r="HL734" s="132"/>
      <c r="HM734" s="132"/>
      <c r="HN734" s="132"/>
      <c r="HO734" s="132"/>
      <c r="HP734" s="132"/>
      <c r="HQ734" s="132"/>
      <c r="HR734" s="132"/>
      <c r="HS734" s="132"/>
      <c r="HT734" s="132"/>
      <c r="HU734" s="132"/>
      <c r="HV734" s="132"/>
      <c r="HW734" s="132"/>
      <c r="HX734" s="132"/>
      <c r="HY734" s="132"/>
      <c r="HZ734" s="132"/>
      <c r="IA734" s="132"/>
      <c r="IB734" s="132"/>
      <c r="IC734" s="132"/>
      <c r="ID734" s="132"/>
      <c r="IE734" s="132"/>
      <c r="IF734" s="132"/>
      <c r="IG734" s="132"/>
      <c r="IH734" s="132"/>
      <c r="II734" s="132"/>
      <c r="IJ734" s="132"/>
      <c r="IK734" s="132"/>
      <c r="IL734" s="132"/>
      <c r="IM734" s="132"/>
      <c r="IN734" s="132"/>
      <c r="IO734" s="132"/>
      <c r="IP734" s="132"/>
      <c r="IQ734" s="132"/>
      <c r="IR734" s="132"/>
      <c r="IS734" s="132"/>
      <c r="IT734" s="132"/>
    </row>
    <row r="735" spans="1:256">
      <c r="A735" s="331" t="s">
        <v>133</v>
      </c>
      <c r="B735" s="526" t="s">
        <v>372</v>
      </c>
      <c r="C735" s="777"/>
      <c r="D735" s="778"/>
      <c r="E735" s="843"/>
      <c r="F735" s="917"/>
      <c r="G735" s="159"/>
      <c r="H735" s="132"/>
      <c r="I735" s="132"/>
      <c r="J735" s="132"/>
      <c r="K735" s="132"/>
      <c r="L735" s="132"/>
      <c r="M735" s="132"/>
      <c r="N735" s="132"/>
      <c r="O735" s="132"/>
      <c r="P735" s="132"/>
      <c r="Q735" s="132"/>
      <c r="R735" s="132"/>
      <c r="S735" s="132"/>
      <c r="T735" s="132"/>
      <c r="U735" s="132"/>
      <c r="V735" s="132"/>
      <c r="W735" s="132"/>
      <c r="X735" s="132"/>
      <c r="Y735" s="132"/>
      <c r="Z735" s="132"/>
      <c r="AA735" s="132"/>
      <c r="AB735" s="132"/>
      <c r="AC735" s="132"/>
      <c r="AD735" s="132"/>
      <c r="AE735" s="132"/>
      <c r="AF735" s="132"/>
      <c r="AG735" s="132"/>
      <c r="AH735" s="132"/>
      <c r="AI735" s="132"/>
      <c r="AJ735" s="132"/>
      <c r="AK735" s="132"/>
      <c r="AL735" s="132"/>
      <c r="AM735" s="132"/>
      <c r="AN735" s="132"/>
      <c r="AO735" s="132"/>
      <c r="AP735" s="132"/>
      <c r="AQ735" s="132"/>
      <c r="AR735" s="132"/>
      <c r="AS735" s="132"/>
      <c r="AT735" s="132"/>
      <c r="AU735" s="132"/>
      <c r="AV735" s="132"/>
      <c r="AW735" s="132"/>
      <c r="AX735" s="132"/>
      <c r="AY735" s="132"/>
      <c r="AZ735" s="132"/>
      <c r="BA735" s="132"/>
      <c r="BB735" s="132"/>
      <c r="BC735" s="132"/>
      <c r="BD735" s="132"/>
      <c r="BE735" s="132"/>
      <c r="BF735" s="132"/>
      <c r="BG735" s="132"/>
      <c r="BH735" s="132"/>
      <c r="BI735" s="132"/>
      <c r="BJ735" s="132"/>
      <c r="BK735" s="132"/>
      <c r="BL735" s="132"/>
      <c r="BM735" s="132"/>
      <c r="BN735" s="132"/>
      <c r="BO735" s="132"/>
      <c r="BP735" s="132"/>
      <c r="BQ735" s="132"/>
      <c r="BR735" s="132"/>
      <c r="BS735" s="132"/>
      <c r="BT735" s="132"/>
      <c r="BU735" s="132"/>
      <c r="BV735" s="132"/>
      <c r="BW735" s="132"/>
      <c r="BX735" s="132"/>
      <c r="BY735" s="132"/>
      <c r="BZ735" s="132"/>
      <c r="CA735" s="132"/>
      <c r="CB735" s="132"/>
      <c r="CC735" s="132"/>
      <c r="CD735" s="132"/>
      <c r="CE735" s="132"/>
      <c r="CF735" s="132"/>
      <c r="CG735" s="132"/>
      <c r="CH735" s="132"/>
      <c r="CI735" s="132"/>
      <c r="CJ735" s="132"/>
      <c r="CK735" s="132"/>
      <c r="CL735" s="132"/>
      <c r="CM735" s="132"/>
      <c r="CN735" s="132"/>
      <c r="CO735" s="132"/>
      <c r="CP735" s="132"/>
      <c r="CQ735" s="132"/>
      <c r="CR735" s="132"/>
      <c r="CS735" s="132"/>
      <c r="CT735" s="132"/>
      <c r="CU735" s="132"/>
      <c r="CV735" s="132"/>
      <c r="CW735" s="132"/>
      <c r="CX735" s="132"/>
      <c r="CY735" s="132"/>
      <c r="CZ735" s="132"/>
      <c r="DA735" s="132"/>
      <c r="DB735" s="132"/>
      <c r="DC735" s="132"/>
      <c r="DD735" s="132"/>
      <c r="DE735" s="132"/>
      <c r="DF735" s="132"/>
      <c r="DG735" s="132"/>
      <c r="DH735" s="132"/>
      <c r="DI735" s="132"/>
      <c r="DJ735" s="132"/>
      <c r="DK735" s="132"/>
      <c r="DL735" s="132"/>
      <c r="DM735" s="132"/>
      <c r="DN735" s="132"/>
      <c r="DO735" s="132"/>
      <c r="DP735" s="132"/>
      <c r="DQ735" s="132"/>
      <c r="DR735" s="132"/>
      <c r="DS735" s="132"/>
      <c r="DT735" s="132"/>
      <c r="DU735" s="132"/>
      <c r="DV735" s="132"/>
      <c r="DW735" s="132"/>
      <c r="DX735" s="132"/>
      <c r="DY735" s="132"/>
      <c r="DZ735" s="132"/>
      <c r="EA735" s="132"/>
      <c r="EB735" s="132"/>
      <c r="EC735" s="132"/>
      <c r="ED735" s="132"/>
      <c r="EE735" s="132"/>
      <c r="EF735" s="132"/>
      <c r="EG735" s="132"/>
      <c r="EH735" s="132"/>
      <c r="EI735" s="132"/>
      <c r="EJ735" s="132"/>
      <c r="EK735" s="132"/>
      <c r="EL735" s="132"/>
      <c r="EM735" s="132"/>
      <c r="EN735" s="132"/>
      <c r="EO735" s="132"/>
      <c r="EP735" s="132"/>
      <c r="EQ735" s="132"/>
      <c r="ER735" s="132"/>
      <c r="ES735" s="132"/>
      <c r="ET735" s="132"/>
      <c r="EU735" s="132"/>
      <c r="EV735" s="132"/>
      <c r="EW735" s="132"/>
      <c r="EX735" s="132"/>
      <c r="EY735" s="132"/>
      <c r="EZ735" s="132"/>
      <c r="FA735" s="132"/>
      <c r="FB735" s="132"/>
      <c r="FC735" s="132"/>
      <c r="FD735" s="132"/>
      <c r="FE735" s="132"/>
      <c r="FF735" s="132"/>
      <c r="FG735" s="132"/>
      <c r="FH735" s="132"/>
      <c r="FI735" s="132"/>
      <c r="FJ735" s="132"/>
      <c r="FK735" s="132"/>
      <c r="FL735" s="132"/>
      <c r="FM735" s="132"/>
      <c r="FN735" s="132"/>
      <c r="FO735" s="132"/>
      <c r="FP735" s="132"/>
      <c r="FQ735" s="132"/>
      <c r="FR735" s="132"/>
      <c r="FS735" s="132"/>
      <c r="FT735" s="132"/>
      <c r="FU735" s="132"/>
      <c r="FV735" s="132"/>
      <c r="FW735" s="132"/>
      <c r="FX735" s="132"/>
      <c r="FY735" s="132"/>
      <c r="FZ735" s="132"/>
      <c r="GA735" s="132"/>
      <c r="GB735" s="132"/>
      <c r="GC735" s="132"/>
      <c r="GD735" s="132"/>
      <c r="GE735" s="132"/>
      <c r="GF735" s="132"/>
      <c r="GG735" s="132"/>
      <c r="GH735" s="132"/>
      <c r="GI735" s="132"/>
      <c r="GJ735" s="132"/>
      <c r="GK735" s="132"/>
      <c r="GL735" s="132"/>
      <c r="GM735" s="132"/>
      <c r="GN735" s="132"/>
      <c r="GO735" s="132"/>
      <c r="GP735" s="132"/>
      <c r="GQ735" s="132"/>
      <c r="GR735" s="132"/>
      <c r="GS735" s="132"/>
      <c r="GT735" s="132"/>
      <c r="GU735" s="132"/>
      <c r="GV735" s="132"/>
      <c r="GW735" s="132"/>
      <c r="GX735" s="132"/>
      <c r="GY735" s="132"/>
      <c r="GZ735" s="132"/>
      <c r="HA735" s="132"/>
      <c r="HB735" s="132"/>
      <c r="HC735" s="132"/>
      <c r="HD735" s="132"/>
      <c r="HE735" s="132"/>
      <c r="HF735" s="132"/>
      <c r="HG735" s="132"/>
      <c r="HH735" s="132"/>
      <c r="HI735" s="132"/>
      <c r="HJ735" s="132"/>
      <c r="HK735" s="132"/>
      <c r="HL735" s="132"/>
      <c r="HM735" s="132"/>
      <c r="HN735" s="132"/>
      <c r="HO735" s="132"/>
      <c r="HP735" s="132"/>
      <c r="HQ735" s="132"/>
      <c r="HR735" s="132"/>
      <c r="HS735" s="132"/>
      <c r="HT735" s="132"/>
      <c r="HU735" s="132"/>
      <c r="HV735" s="132"/>
      <c r="HW735" s="132"/>
      <c r="HX735" s="132"/>
      <c r="HY735" s="132"/>
      <c r="HZ735" s="132"/>
      <c r="IA735" s="132"/>
      <c r="IB735" s="132"/>
      <c r="IC735" s="132"/>
      <c r="ID735" s="132"/>
      <c r="IE735" s="132"/>
      <c r="IF735" s="132"/>
      <c r="IG735" s="132"/>
      <c r="IH735" s="132"/>
      <c r="II735" s="132"/>
      <c r="IJ735" s="132"/>
      <c r="IK735" s="132"/>
      <c r="IL735" s="132"/>
      <c r="IM735" s="132"/>
      <c r="IN735" s="132"/>
      <c r="IO735" s="132"/>
      <c r="IP735" s="132"/>
      <c r="IQ735" s="132"/>
      <c r="IR735" s="132"/>
      <c r="IS735" s="132"/>
      <c r="IT735" s="132"/>
    </row>
    <row r="736" spans="1:256">
      <c r="A736" s="734"/>
      <c r="B736" s="146"/>
      <c r="C736" s="340"/>
      <c r="D736" s="329"/>
      <c r="E736" s="833"/>
      <c r="F736" s="908"/>
      <c r="G736" s="159"/>
      <c r="H736" s="132"/>
      <c r="I736" s="132"/>
      <c r="J736" s="132"/>
      <c r="K736" s="132"/>
      <c r="L736" s="132"/>
      <c r="M736" s="132"/>
      <c r="N736" s="132"/>
      <c r="O736" s="132"/>
      <c r="P736" s="132"/>
      <c r="Q736" s="132"/>
      <c r="R736" s="132"/>
      <c r="S736" s="132"/>
      <c r="T736" s="132"/>
      <c r="U736" s="132"/>
      <c r="V736" s="132"/>
      <c r="W736" s="132"/>
      <c r="X736" s="132"/>
      <c r="Y736" s="132"/>
      <c r="Z736" s="132"/>
      <c r="AA736" s="132"/>
      <c r="AB736" s="132"/>
      <c r="AC736" s="132"/>
      <c r="AD736" s="132"/>
      <c r="AE736" s="132"/>
      <c r="AF736" s="132"/>
      <c r="AG736" s="132"/>
      <c r="AH736" s="132"/>
      <c r="AI736" s="132"/>
      <c r="AJ736" s="132"/>
      <c r="AK736" s="132"/>
      <c r="AL736" s="132"/>
      <c r="AM736" s="132"/>
      <c r="AN736" s="132"/>
      <c r="AO736" s="132"/>
      <c r="AP736" s="132"/>
      <c r="AQ736" s="132"/>
      <c r="AR736" s="132"/>
      <c r="AS736" s="132"/>
      <c r="AT736" s="132"/>
      <c r="AU736" s="132"/>
      <c r="AV736" s="132"/>
      <c r="AW736" s="132"/>
      <c r="AX736" s="132"/>
      <c r="AY736" s="132"/>
      <c r="AZ736" s="132"/>
      <c r="BA736" s="132"/>
      <c r="BB736" s="132"/>
      <c r="BC736" s="132"/>
      <c r="BD736" s="132"/>
      <c r="BE736" s="132"/>
      <c r="BF736" s="132"/>
      <c r="BG736" s="132"/>
      <c r="BH736" s="132"/>
      <c r="BI736" s="132"/>
      <c r="BJ736" s="132"/>
      <c r="BK736" s="132"/>
      <c r="BL736" s="132"/>
      <c r="BM736" s="132"/>
      <c r="BN736" s="132"/>
      <c r="BO736" s="132"/>
      <c r="BP736" s="132"/>
      <c r="BQ736" s="132"/>
      <c r="BR736" s="132"/>
      <c r="BS736" s="132"/>
      <c r="BT736" s="132"/>
      <c r="BU736" s="132"/>
      <c r="BV736" s="132"/>
      <c r="BW736" s="132"/>
      <c r="BX736" s="132"/>
      <c r="BY736" s="132"/>
      <c r="BZ736" s="132"/>
      <c r="CA736" s="132"/>
      <c r="CB736" s="132"/>
      <c r="CC736" s="132"/>
      <c r="CD736" s="132"/>
      <c r="CE736" s="132"/>
      <c r="CF736" s="132"/>
      <c r="CG736" s="132"/>
      <c r="CH736" s="132"/>
      <c r="CI736" s="132"/>
      <c r="CJ736" s="132"/>
      <c r="CK736" s="132"/>
      <c r="CL736" s="132"/>
      <c r="CM736" s="132"/>
      <c r="CN736" s="132"/>
      <c r="CO736" s="132"/>
      <c r="CP736" s="132"/>
      <c r="CQ736" s="132"/>
      <c r="CR736" s="132"/>
      <c r="CS736" s="132"/>
      <c r="CT736" s="132"/>
      <c r="CU736" s="132"/>
      <c r="CV736" s="132"/>
      <c r="CW736" s="132"/>
      <c r="CX736" s="132"/>
      <c r="CY736" s="132"/>
      <c r="CZ736" s="132"/>
      <c r="DA736" s="132"/>
      <c r="DB736" s="132"/>
      <c r="DC736" s="132"/>
      <c r="DD736" s="132"/>
      <c r="DE736" s="132"/>
      <c r="DF736" s="132"/>
      <c r="DG736" s="132"/>
      <c r="DH736" s="132"/>
      <c r="DI736" s="132"/>
      <c r="DJ736" s="132"/>
      <c r="DK736" s="132"/>
      <c r="DL736" s="132"/>
      <c r="DM736" s="132"/>
      <c r="DN736" s="132"/>
      <c r="DO736" s="132"/>
      <c r="DP736" s="132"/>
      <c r="DQ736" s="132"/>
      <c r="DR736" s="132"/>
      <c r="DS736" s="132"/>
      <c r="DT736" s="132"/>
      <c r="DU736" s="132"/>
      <c r="DV736" s="132"/>
      <c r="DW736" s="132"/>
      <c r="DX736" s="132"/>
      <c r="DY736" s="132"/>
      <c r="DZ736" s="132"/>
      <c r="EA736" s="132"/>
      <c r="EB736" s="132"/>
      <c r="EC736" s="132"/>
      <c r="ED736" s="132"/>
      <c r="EE736" s="132"/>
      <c r="EF736" s="132"/>
      <c r="EG736" s="132"/>
      <c r="EH736" s="132"/>
      <c r="EI736" s="132"/>
      <c r="EJ736" s="132"/>
      <c r="EK736" s="132"/>
      <c r="EL736" s="132"/>
      <c r="EM736" s="132"/>
      <c r="EN736" s="132"/>
      <c r="EO736" s="132"/>
      <c r="EP736" s="132"/>
      <c r="EQ736" s="132"/>
      <c r="ER736" s="132"/>
      <c r="ES736" s="132"/>
      <c r="ET736" s="132"/>
      <c r="EU736" s="132"/>
      <c r="EV736" s="132"/>
      <c r="EW736" s="132"/>
      <c r="EX736" s="132"/>
      <c r="EY736" s="132"/>
      <c r="EZ736" s="132"/>
      <c r="FA736" s="132"/>
      <c r="FB736" s="132"/>
      <c r="FC736" s="132"/>
      <c r="FD736" s="132"/>
      <c r="FE736" s="132"/>
      <c r="FF736" s="132"/>
      <c r="FG736" s="132"/>
      <c r="FH736" s="132"/>
      <c r="FI736" s="132"/>
      <c r="FJ736" s="132"/>
      <c r="FK736" s="132"/>
      <c r="FL736" s="132"/>
      <c r="FM736" s="132"/>
      <c r="FN736" s="132"/>
      <c r="FO736" s="132"/>
      <c r="FP736" s="132"/>
      <c r="FQ736" s="132"/>
      <c r="FR736" s="132"/>
      <c r="FS736" s="132"/>
      <c r="FT736" s="132"/>
      <c r="FU736" s="132"/>
      <c r="FV736" s="132"/>
      <c r="FW736" s="132"/>
      <c r="FX736" s="132"/>
      <c r="FY736" s="132"/>
      <c r="FZ736" s="132"/>
      <c r="GA736" s="132"/>
      <c r="GB736" s="132"/>
      <c r="GC736" s="132"/>
      <c r="GD736" s="132"/>
      <c r="GE736" s="132"/>
      <c r="GF736" s="132"/>
      <c r="GG736" s="132"/>
      <c r="GH736" s="132"/>
      <c r="GI736" s="132"/>
      <c r="GJ736" s="132"/>
      <c r="GK736" s="132"/>
      <c r="GL736" s="132"/>
      <c r="GM736" s="132"/>
      <c r="GN736" s="132"/>
      <c r="GO736" s="132"/>
      <c r="GP736" s="132"/>
      <c r="GQ736" s="132"/>
      <c r="GR736" s="132"/>
      <c r="GS736" s="132"/>
      <c r="GT736" s="132"/>
      <c r="GU736" s="132"/>
      <c r="GV736" s="132"/>
      <c r="GW736" s="132"/>
      <c r="GX736" s="132"/>
      <c r="GY736" s="132"/>
      <c r="GZ736" s="132"/>
      <c r="HA736" s="132"/>
      <c r="HB736" s="132"/>
      <c r="HC736" s="132"/>
      <c r="HD736" s="132"/>
      <c r="HE736" s="132"/>
      <c r="HF736" s="132"/>
      <c r="HG736" s="132"/>
      <c r="HH736" s="132"/>
      <c r="HI736" s="132"/>
      <c r="HJ736" s="132"/>
      <c r="HK736" s="132"/>
      <c r="HL736" s="132"/>
      <c r="HM736" s="132"/>
      <c r="HN736" s="132"/>
      <c r="HO736" s="132"/>
      <c r="HP736" s="132"/>
      <c r="HQ736" s="132"/>
      <c r="HR736" s="132"/>
      <c r="HS736" s="132"/>
      <c r="HT736" s="132"/>
      <c r="HU736" s="132"/>
      <c r="HV736" s="132"/>
      <c r="HW736" s="132"/>
      <c r="HX736" s="132"/>
      <c r="HY736" s="132"/>
      <c r="HZ736" s="132"/>
      <c r="IA736" s="132"/>
      <c r="IB736" s="132"/>
      <c r="IC736" s="132"/>
      <c r="ID736" s="132"/>
      <c r="IE736" s="132"/>
      <c r="IF736" s="132"/>
      <c r="IG736" s="132"/>
      <c r="IH736" s="132"/>
      <c r="II736" s="132"/>
      <c r="IJ736" s="132"/>
      <c r="IK736" s="132"/>
      <c r="IL736" s="132"/>
      <c r="IM736" s="132"/>
      <c r="IN736" s="132"/>
      <c r="IO736" s="132"/>
      <c r="IP736" s="132"/>
      <c r="IQ736" s="132"/>
      <c r="IR736" s="132"/>
      <c r="IS736" s="132"/>
      <c r="IT736" s="132"/>
    </row>
    <row r="737" spans="1:254" ht="51">
      <c r="A737" s="342"/>
      <c r="B737" s="146" t="s">
        <v>371</v>
      </c>
      <c r="C737" s="340"/>
      <c r="D737" s="329"/>
      <c r="F737" s="908"/>
      <c r="G737" s="159"/>
      <c r="H737" s="132"/>
      <c r="I737" s="132"/>
      <c r="J737" s="132"/>
      <c r="K737" s="132"/>
      <c r="L737" s="132"/>
      <c r="M737" s="132"/>
      <c r="N737" s="132"/>
      <c r="O737" s="132"/>
      <c r="P737" s="132"/>
      <c r="Q737" s="132"/>
      <c r="R737" s="132"/>
      <c r="S737" s="132"/>
      <c r="T737" s="132"/>
      <c r="U737" s="132"/>
      <c r="V737" s="132"/>
      <c r="W737" s="132"/>
      <c r="X737" s="132"/>
      <c r="Y737" s="132"/>
      <c r="Z737" s="132"/>
      <c r="AA737" s="132"/>
      <c r="AB737" s="132"/>
      <c r="AC737" s="132"/>
      <c r="AD737" s="132"/>
      <c r="AE737" s="132"/>
      <c r="AF737" s="132"/>
      <c r="AG737" s="132"/>
      <c r="AH737" s="132"/>
      <c r="AI737" s="132"/>
      <c r="AJ737" s="132"/>
      <c r="AK737" s="132"/>
      <c r="AL737" s="132"/>
      <c r="AM737" s="132"/>
      <c r="AN737" s="132"/>
      <c r="AO737" s="132"/>
      <c r="AP737" s="132"/>
      <c r="AQ737" s="132"/>
      <c r="AR737" s="132"/>
      <c r="AS737" s="132"/>
      <c r="AT737" s="132"/>
      <c r="AU737" s="132"/>
      <c r="AV737" s="132"/>
      <c r="AW737" s="132"/>
      <c r="AX737" s="132"/>
      <c r="AY737" s="132"/>
      <c r="AZ737" s="132"/>
      <c r="BA737" s="132"/>
      <c r="BB737" s="132"/>
      <c r="BC737" s="132"/>
      <c r="BD737" s="132"/>
      <c r="BE737" s="132"/>
      <c r="BF737" s="132"/>
      <c r="BG737" s="132"/>
      <c r="BH737" s="132"/>
      <c r="BI737" s="132"/>
      <c r="BJ737" s="132"/>
      <c r="BK737" s="132"/>
      <c r="BL737" s="132"/>
      <c r="BM737" s="132"/>
      <c r="BN737" s="132"/>
      <c r="BO737" s="132"/>
      <c r="BP737" s="132"/>
      <c r="BQ737" s="132"/>
      <c r="BR737" s="132"/>
      <c r="BS737" s="132"/>
      <c r="BT737" s="132"/>
      <c r="BU737" s="132"/>
      <c r="BV737" s="132"/>
      <c r="BW737" s="132"/>
      <c r="BX737" s="132"/>
      <c r="BY737" s="132"/>
      <c r="BZ737" s="132"/>
      <c r="CA737" s="132"/>
      <c r="CB737" s="132"/>
      <c r="CC737" s="132"/>
      <c r="CD737" s="132"/>
      <c r="CE737" s="132"/>
      <c r="CF737" s="132"/>
      <c r="CG737" s="132"/>
      <c r="CH737" s="132"/>
      <c r="CI737" s="132"/>
      <c r="CJ737" s="132"/>
      <c r="CK737" s="132"/>
      <c r="CL737" s="132"/>
      <c r="CM737" s="132"/>
      <c r="CN737" s="132"/>
      <c r="CO737" s="132"/>
      <c r="CP737" s="132"/>
      <c r="CQ737" s="132"/>
      <c r="CR737" s="132"/>
      <c r="CS737" s="132"/>
      <c r="CT737" s="132"/>
      <c r="CU737" s="132"/>
      <c r="CV737" s="132"/>
      <c r="CW737" s="132"/>
      <c r="CX737" s="132"/>
      <c r="CY737" s="132"/>
      <c r="CZ737" s="132"/>
      <c r="DA737" s="132"/>
      <c r="DB737" s="132"/>
      <c r="DC737" s="132"/>
      <c r="DD737" s="132"/>
      <c r="DE737" s="132"/>
      <c r="DF737" s="132"/>
      <c r="DG737" s="132"/>
      <c r="DH737" s="132"/>
      <c r="DI737" s="132"/>
      <c r="DJ737" s="132"/>
      <c r="DK737" s="132"/>
      <c r="DL737" s="132"/>
      <c r="DM737" s="132"/>
      <c r="DN737" s="132"/>
      <c r="DO737" s="132"/>
      <c r="DP737" s="132"/>
      <c r="DQ737" s="132"/>
      <c r="DR737" s="132"/>
      <c r="DS737" s="132"/>
      <c r="DT737" s="132"/>
      <c r="DU737" s="132"/>
      <c r="DV737" s="132"/>
      <c r="DW737" s="132"/>
      <c r="DX737" s="132"/>
      <c r="DY737" s="132"/>
      <c r="DZ737" s="132"/>
      <c r="EA737" s="132"/>
      <c r="EB737" s="132"/>
      <c r="EC737" s="132"/>
      <c r="ED737" s="132"/>
      <c r="EE737" s="132"/>
      <c r="EF737" s="132"/>
      <c r="EG737" s="132"/>
      <c r="EH737" s="132"/>
      <c r="EI737" s="132"/>
      <c r="EJ737" s="132"/>
      <c r="EK737" s="132"/>
      <c r="EL737" s="132"/>
      <c r="EM737" s="132"/>
      <c r="EN737" s="132"/>
      <c r="EO737" s="132"/>
      <c r="EP737" s="132"/>
      <c r="EQ737" s="132"/>
      <c r="ER737" s="132"/>
      <c r="ES737" s="132"/>
      <c r="ET737" s="132"/>
      <c r="EU737" s="132"/>
      <c r="EV737" s="132"/>
      <c r="EW737" s="132"/>
      <c r="EX737" s="132"/>
      <c r="EY737" s="132"/>
      <c r="EZ737" s="132"/>
      <c r="FA737" s="132"/>
      <c r="FB737" s="132"/>
      <c r="FC737" s="132"/>
      <c r="FD737" s="132"/>
      <c r="FE737" s="132"/>
      <c r="FF737" s="132"/>
      <c r="FG737" s="132"/>
      <c r="FH737" s="132"/>
      <c r="FI737" s="132"/>
      <c r="FJ737" s="132"/>
      <c r="FK737" s="132"/>
      <c r="FL737" s="132"/>
      <c r="FM737" s="132"/>
      <c r="FN737" s="132"/>
      <c r="FO737" s="132"/>
      <c r="FP737" s="132"/>
      <c r="FQ737" s="132"/>
      <c r="FR737" s="132"/>
      <c r="FS737" s="132"/>
      <c r="FT737" s="132"/>
      <c r="FU737" s="132"/>
      <c r="FV737" s="132"/>
      <c r="FW737" s="132"/>
      <c r="FX737" s="132"/>
      <c r="FY737" s="132"/>
      <c r="FZ737" s="132"/>
      <c r="GA737" s="132"/>
      <c r="GB737" s="132"/>
      <c r="GC737" s="132"/>
      <c r="GD737" s="132"/>
      <c r="GE737" s="132"/>
      <c r="GF737" s="132"/>
      <c r="GG737" s="132"/>
      <c r="GH737" s="132"/>
      <c r="GI737" s="132"/>
      <c r="GJ737" s="132"/>
      <c r="GK737" s="132"/>
      <c r="GL737" s="132"/>
      <c r="GM737" s="132"/>
      <c r="GN737" s="132"/>
      <c r="GO737" s="132"/>
      <c r="GP737" s="132"/>
      <c r="GQ737" s="132"/>
      <c r="GR737" s="132"/>
      <c r="GS737" s="132"/>
      <c r="GT737" s="132"/>
      <c r="GU737" s="132"/>
      <c r="GV737" s="132"/>
      <c r="GW737" s="132"/>
      <c r="GX737" s="132"/>
      <c r="GY737" s="132"/>
      <c r="GZ737" s="132"/>
      <c r="HA737" s="132"/>
      <c r="HB737" s="132"/>
      <c r="HC737" s="132"/>
      <c r="HD737" s="132"/>
      <c r="HE737" s="132"/>
      <c r="HF737" s="132"/>
      <c r="HG737" s="132"/>
      <c r="HH737" s="132"/>
      <c r="HI737" s="132"/>
      <c r="HJ737" s="132"/>
      <c r="HK737" s="132"/>
      <c r="HL737" s="132"/>
      <c r="HM737" s="132"/>
      <c r="HN737" s="132"/>
      <c r="HO737" s="132"/>
      <c r="HP737" s="132"/>
      <c r="HQ737" s="132"/>
      <c r="HR737" s="132"/>
      <c r="HS737" s="132"/>
      <c r="HT737" s="132"/>
      <c r="HU737" s="132"/>
      <c r="HV737" s="132"/>
      <c r="HW737" s="132"/>
      <c r="HX737" s="132"/>
      <c r="HY737" s="132"/>
      <c r="HZ737" s="132"/>
      <c r="IA737" s="132"/>
      <c r="IB737" s="132"/>
      <c r="IC737" s="132"/>
      <c r="ID737" s="132"/>
      <c r="IE737" s="132"/>
      <c r="IF737" s="132"/>
      <c r="IG737" s="132"/>
      <c r="IH737" s="132"/>
      <c r="II737" s="132"/>
      <c r="IJ737" s="132"/>
      <c r="IK737" s="132"/>
      <c r="IL737" s="132"/>
      <c r="IM737" s="132"/>
      <c r="IN737" s="132"/>
      <c r="IO737" s="132"/>
      <c r="IP737" s="132"/>
      <c r="IQ737" s="132"/>
      <c r="IR737" s="132"/>
      <c r="IS737" s="132"/>
      <c r="IT737" s="132"/>
    </row>
    <row r="738" spans="1:254">
      <c r="A738" s="734" t="s">
        <v>370</v>
      </c>
      <c r="B738" s="146" t="s">
        <v>369</v>
      </c>
      <c r="C738" s="328">
        <v>23</v>
      </c>
      <c r="D738" s="329" t="s">
        <v>108</v>
      </c>
      <c r="E738" s="838"/>
      <c r="F738" s="911">
        <f>ROUND(ROUND(C738,2)*ROUND(E738,2),2)</f>
        <v>0</v>
      </c>
      <c r="G738" s="159"/>
      <c r="H738" s="132"/>
      <c r="I738" s="132"/>
      <c r="J738" s="132"/>
      <c r="K738" s="132"/>
      <c r="L738" s="132"/>
      <c r="M738" s="132"/>
      <c r="N738" s="132"/>
      <c r="O738" s="132"/>
      <c r="P738" s="132"/>
      <c r="Q738" s="132"/>
      <c r="R738" s="132"/>
      <c r="S738" s="132"/>
      <c r="T738" s="132"/>
      <c r="U738" s="132"/>
      <c r="V738" s="132"/>
      <c r="W738" s="132"/>
      <c r="X738" s="132"/>
      <c r="Y738" s="132"/>
      <c r="Z738" s="132"/>
      <c r="AA738" s="132"/>
      <c r="AB738" s="132"/>
      <c r="AC738" s="132"/>
      <c r="AD738" s="132"/>
      <c r="AE738" s="132"/>
      <c r="AF738" s="132"/>
      <c r="AG738" s="132"/>
      <c r="AH738" s="132"/>
      <c r="AI738" s="132"/>
      <c r="AJ738" s="132"/>
      <c r="AK738" s="132"/>
      <c r="AL738" s="132"/>
      <c r="AM738" s="132"/>
      <c r="AN738" s="132"/>
      <c r="AO738" s="132"/>
      <c r="AP738" s="132"/>
      <c r="AQ738" s="132"/>
      <c r="AR738" s="132"/>
      <c r="AS738" s="132"/>
      <c r="AT738" s="132"/>
      <c r="AU738" s="132"/>
      <c r="AV738" s="132"/>
      <c r="AW738" s="132"/>
      <c r="AX738" s="132"/>
      <c r="AY738" s="132"/>
      <c r="AZ738" s="132"/>
      <c r="BA738" s="132"/>
      <c r="BB738" s="132"/>
      <c r="BC738" s="132"/>
      <c r="BD738" s="132"/>
      <c r="BE738" s="132"/>
      <c r="BF738" s="132"/>
      <c r="BG738" s="132"/>
      <c r="BH738" s="132"/>
      <c r="BI738" s="132"/>
      <c r="BJ738" s="132"/>
      <c r="BK738" s="132"/>
      <c r="BL738" s="132"/>
      <c r="BM738" s="132"/>
      <c r="BN738" s="132"/>
      <c r="BO738" s="132"/>
      <c r="BP738" s="132"/>
      <c r="BQ738" s="132"/>
      <c r="BR738" s="132"/>
      <c r="BS738" s="132"/>
      <c r="BT738" s="132"/>
      <c r="BU738" s="132"/>
      <c r="BV738" s="132"/>
      <c r="BW738" s="132"/>
      <c r="BX738" s="132"/>
      <c r="BY738" s="132"/>
      <c r="BZ738" s="132"/>
      <c r="CA738" s="132"/>
      <c r="CB738" s="132"/>
      <c r="CC738" s="132"/>
      <c r="CD738" s="132"/>
      <c r="CE738" s="132"/>
      <c r="CF738" s="132"/>
      <c r="CG738" s="132"/>
      <c r="CH738" s="132"/>
      <c r="CI738" s="132"/>
      <c r="CJ738" s="132"/>
      <c r="CK738" s="132"/>
      <c r="CL738" s="132"/>
      <c r="CM738" s="132"/>
      <c r="CN738" s="132"/>
      <c r="CO738" s="132"/>
      <c r="CP738" s="132"/>
      <c r="CQ738" s="132"/>
      <c r="CR738" s="132"/>
      <c r="CS738" s="132"/>
      <c r="CT738" s="132"/>
      <c r="CU738" s="132"/>
      <c r="CV738" s="132"/>
      <c r="CW738" s="132"/>
      <c r="CX738" s="132"/>
      <c r="CY738" s="132"/>
      <c r="CZ738" s="132"/>
      <c r="DA738" s="132"/>
      <c r="DB738" s="132"/>
      <c r="DC738" s="132"/>
      <c r="DD738" s="132"/>
      <c r="DE738" s="132"/>
      <c r="DF738" s="132"/>
      <c r="DG738" s="132"/>
      <c r="DH738" s="132"/>
      <c r="DI738" s="132"/>
      <c r="DJ738" s="132"/>
      <c r="DK738" s="132"/>
      <c r="DL738" s="132"/>
      <c r="DM738" s="132"/>
      <c r="DN738" s="132"/>
      <c r="DO738" s="132"/>
      <c r="DP738" s="132"/>
      <c r="DQ738" s="132"/>
      <c r="DR738" s="132"/>
      <c r="DS738" s="132"/>
      <c r="DT738" s="132"/>
      <c r="DU738" s="132"/>
      <c r="DV738" s="132"/>
      <c r="DW738" s="132"/>
      <c r="DX738" s="132"/>
      <c r="DY738" s="132"/>
      <c r="DZ738" s="132"/>
      <c r="EA738" s="132"/>
      <c r="EB738" s="132"/>
      <c r="EC738" s="132"/>
      <c r="ED738" s="132"/>
      <c r="EE738" s="132"/>
      <c r="EF738" s="132"/>
      <c r="EG738" s="132"/>
      <c r="EH738" s="132"/>
      <c r="EI738" s="132"/>
      <c r="EJ738" s="132"/>
      <c r="EK738" s="132"/>
      <c r="EL738" s="132"/>
      <c r="EM738" s="132"/>
      <c r="EN738" s="132"/>
      <c r="EO738" s="132"/>
      <c r="EP738" s="132"/>
      <c r="EQ738" s="132"/>
      <c r="ER738" s="132"/>
      <c r="ES738" s="132"/>
      <c r="ET738" s="132"/>
      <c r="EU738" s="132"/>
      <c r="EV738" s="132"/>
      <c r="EW738" s="132"/>
      <c r="EX738" s="132"/>
      <c r="EY738" s="132"/>
      <c r="EZ738" s="132"/>
      <c r="FA738" s="132"/>
      <c r="FB738" s="132"/>
      <c r="FC738" s="132"/>
      <c r="FD738" s="132"/>
      <c r="FE738" s="132"/>
      <c r="FF738" s="132"/>
      <c r="FG738" s="132"/>
      <c r="FH738" s="132"/>
      <c r="FI738" s="132"/>
      <c r="FJ738" s="132"/>
      <c r="FK738" s="132"/>
      <c r="FL738" s="132"/>
      <c r="FM738" s="132"/>
      <c r="FN738" s="132"/>
      <c r="FO738" s="132"/>
      <c r="FP738" s="132"/>
      <c r="FQ738" s="132"/>
      <c r="FR738" s="132"/>
      <c r="FS738" s="132"/>
      <c r="FT738" s="132"/>
      <c r="FU738" s="132"/>
      <c r="FV738" s="132"/>
      <c r="FW738" s="132"/>
      <c r="FX738" s="132"/>
      <c r="FY738" s="132"/>
      <c r="FZ738" s="132"/>
      <c r="GA738" s="132"/>
      <c r="GB738" s="132"/>
      <c r="GC738" s="132"/>
      <c r="GD738" s="132"/>
      <c r="GE738" s="132"/>
      <c r="GF738" s="132"/>
      <c r="GG738" s="132"/>
      <c r="GH738" s="132"/>
      <c r="GI738" s="132"/>
      <c r="GJ738" s="132"/>
      <c r="GK738" s="132"/>
      <c r="GL738" s="132"/>
      <c r="GM738" s="132"/>
      <c r="GN738" s="132"/>
      <c r="GO738" s="132"/>
      <c r="GP738" s="132"/>
      <c r="GQ738" s="132"/>
      <c r="GR738" s="132"/>
      <c r="GS738" s="132"/>
      <c r="GT738" s="132"/>
      <c r="GU738" s="132"/>
      <c r="GV738" s="132"/>
      <c r="GW738" s="132"/>
      <c r="GX738" s="132"/>
      <c r="GY738" s="132"/>
      <c r="GZ738" s="132"/>
      <c r="HA738" s="132"/>
      <c r="HB738" s="132"/>
      <c r="HC738" s="132"/>
      <c r="HD738" s="132"/>
      <c r="HE738" s="132"/>
      <c r="HF738" s="132"/>
      <c r="HG738" s="132"/>
      <c r="HH738" s="132"/>
      <c r="HI738" s="132"/>
      <c r="HJ738" s="132"/>
      <c r="HK738" s="132"/>
      <c r="HL738" s="132"/>
      <c r="HM738" s="132"/>
      <c r="HN738" s="132"/>
      <c r="HO738" s="132"/>
      <c r="HP738" s="132"/>
      <c r="HQ738" s="132"/>
      <c r="HR738" s="132"/>
      <c r="HS738" s="132"/>
      <c r="HT738" s="132"/>
      <c r="HU738" s="132"/>
      <c r="HV738" s="132"/>
      <c r="HW738" s="132"/>
      <c r="HX738" s="132"/>
      <c r="HY738" s="132"/>
      <c r="HZ738" s="132"/>
      <c r="IA738" s="132"/>
      <c r="IB738" s="132"/>
      <c r="IC738" s="132"/>
      <c r="ID738" s="132"/>
      <c r="IE738" s="132"/>
      <c r="IF738" s="132"/>
      <c r="IG738" s="132"/>
      <c r="IH738" s="132"/>
      <c r="II738" s="132"/>
      <c r="IJ738" s="132"/>
      <c r="IK738" s="132"/>
      <c r="IL738" s="132"/>
      <c r="IM738" s="132"/>
      <c r="IN738" s="132"/>
      <c r="IO738" s="132"/>
      <c r="IP738" s="132"/>
      <c r="IQ738" s="132"/>
      <c r="IR738" s="132"/>
      <c r="IS738" s="132"/>
      <c r="IT738" s="132"/>
    </row>
    <row r="739" spans="1:254">
      <c r="A739" s="342"/>
      <c r="B739" s="146"/>
      <c r="C739" s="328"/>
      <c r="D739" s="329"/>
      <c r="F739" s="911"/>
      <c r="G739" s="159"/>
      <c r="H739" s="132"/>
      <c r="I739" s="132"/>
      <c r="J739" s="132"/>
      <c r="K739" s="132"/>
      <c r="L739" s="132"/>
      <c r="M739" s="132"/>
      <c r="N739" s="132"/>
      <c r="O739" s="132"/>
      <c r="P739" s="132"/>
      <c r="Q739" s="132"/>
      <c r="R739" s="132"/>
      <c r="S739" s="132"/>
      <c r="T739" s="132"/>
      <c r="U739" s="132"/>
      <c r="V739" s="132"/>
      <c r="W739" s="132"/>
      <c r="X739" s="132"/>
      <c r="Y739" s="132"/>
      <c r="Z739" s="132"/>
      <c r="AA739" s="132"/>
      <c r="AB739" s="132"/>
      <c r="AC739" s="132"/>
      <c r="AD739" s="132"/>
      <c r="AE739" s="132"/>
      <c r="AF739" s="132"/>
      <c r="AG739" s="132"/>
      <c r="AH739" s="132"/>
      <c r="AI739" s="132"/>
      <c r="AJ739" s="132"/>
      <c r="AK739" s="132"/>
      <c r="AL739" s="132"/>
      <c r="AM739" s="132"/>
      <c r="AN739" s="132"/>
      <c r="AO739" s="132"/>
      <c r="AP739" s="132"/>
      <c r="AQ739" s="132"/>
      <c r="AR739" s="132"/>
      <c r="AS739" s="132"/>
      <c r="AT739" s="132"/>
      <c r="AU739" s="132"/>
      <c r="AV739" s="132"/>
      <c r="AW739" s="132"/>
      <c r="AX739" s="132"/>
      <c r="AY739" s="132"/>
      <c r="AZ739" s="132"/>
      <c r="BA739" s="132"/>
      <c r="BB739" s="132"/>
      <c r="BC739" s="132"/>
      <c r="BD739" s="132"/>
      <c r="BE739" s="132"/>
      <c r="BF739" s="132"/>
      <c r="BG739" s="132"/>
      <c r="BH739" s="132"/>
      <c r="BI739" s="132"/>
      <c r="BJ739" s="132"/>
      <c r="BK739" s="132"/>
      <c r="BL739" s="132"/>
      <c r="BM739" s="132"/>
      <c r="BN739" s="132"/>
      <c r="BO739" s="132"/>
      <c r="BP739" s="132"/>
      <c r="BQ739" s="132"/>
      <c r="BR739" s="132"/>
      <c r="BS739" s="132"/>
      <c r="BT739" s="132"/>
      <c r="BU739" s="132"/>
      <c r="BV739" s="132"/>
      <c r="BW739" s="132"/>
      <c r="BX739" s="132"/>
      <c r="BY739" s="132"/>
      <c r="BZ739" s="132"/>
      <c r="CA739" s="132"/>
      <c r="CB739" s="132"/>
      <c r="CC739" s="132"/>
      <c r="CD739" s="132"/>
      <c r="CE739" s="132"/>
      <c r="CF739" s="132"/>
      <c r="CG739" s="132"/>
      <c r="CH739" s="132"/>
      <c r="CI739" s="132"/>
      <c r="CJ739" s="132"/>
      <c r="CK739" s="132"/>
      <c r="CL739" s="132"/>
      <c r="CM739" s="132"/>
      <c r="CN739" s="132"/>
      <c r="CO739" s="132"/>
      <c r="CP739" s="132"/>
      <c r="CQ739" s="132"/>
      <c r="CR739" s="132"/>
      <c r="CS739" s="132"/>
      <c r="CT739" s="132"/>
      <c r="CU739" s="132"/>
      <c r="CV739" s="132"/>
      <c r="CW739" s="132"/>
      <c r="CX739" s="132"/>
      <c r="CY739" s="132"/>
      <c r="CZ739" s="132"/>
      <c r="DA739" s="132"/>
      <c r="DB739" s="132"/>
      <c r="DC739" s="132"/>
      <c r="DD739" s="132"/>
      <c r="DE739" s="132"/>
      <c r="DF739" s="132"/>
      <c r="DG739" s="132"/>
      <c r="DH739" s="132"/>
      <c r="DI739" s="132"/>
      <c r="DJ739" s="132"/>
      <c r="DK739" s="132"/>
      <c r="DL739" s="132"/>
      <c r="DM739" s="132"/>
      <c r="DN739" s="132"/>
      <c r="DO739" s="132"/>
      <c r="DP739" s="132"/>
      <c r="DQ739" s="132"/>
      <c r="DR739" s="132"/>
      <c r="DS739" s="132"/>
      <c r="DT739" s="132"/>
      <c r="DU739" s="132"/>
      <c r="DV739" s="132"/>
      <c r="DW739" s="132"/>
      <c r="DX739" s="132"/>
      <c r="DY739" s="132"/>
      <c r="DZ739" s="132"/>
      <c r="EA739" s="132"/>
      <c r="EB739" s="132"/>
      <c r="EC739" s="132"/>
      <c r="ED739" s="132"/>
      <c r="EE739" s="132"/>
      <c r="EF739" s="132"/>
      <c r="EG739" s="132"/>
      <c r="EH739" s="132"/>
      <c r="EI739" s="132"/>
      <c r="EJ739" s="132"/>
      <c r="EK739" s="132"/>
      <c r="EL739" s="132"/>
      <c r="EM739" s="132"/>
      <c r="EN739" s="132"/>
      <c r="EO739" s="132"/>
      <c r="EP739" s="132"/>
      <c r="EQ739" s="132"/>
      <c r="ER739" s="132"/>
      <c r="ES739" s="132"/>
      <c r="ET739" s="132"/>
      <c r="EU739" s="132"/>
      <c r="EV739" s="132"/>
      <c r="EW739" s="132"/>
      <c r="EX739" s="132"/>
      <c r="EY739" s="132"/>
      <c r="EZ739" s="132"/>
      <c r="FA739" s="132"/>
      <c r="FB739" s="132"/>
      <c r="FC739" s="132"/>
      <c r="FD739" s="132"/>
      <c r="FE739" s="132"/>
      <c r="FF739" s="132"/>
      <c r="FG739" s="132"/>
      <c r="FH739" s="132"/>
      <c r="FI739" s="132"/>
      <c r="FJ739" s="132"/>
      <c r="FK739" s="132"/>
      <c r="FL739" s="132"/>
      <c r="FM739" s="132"/>
      <c r="FN739" s="132"/>
      <c r="FO739" s="132"/>
      <c r="FP739" s="132"/>
      <c r="FQ739" s="132"/>
      <c r="FR739" s="132"/>
      <c r="FS739" s="132"/>
      <c r="FT739" s="132"/>
      <c r="FU739" s="132"/>
      <c r="FV739" s="132"/>
      <c r="FW739" s="132"/>
      <c r="FX739" s="132"/>
      <c r="FY739" s="132"/>
      <c r="FZ739" s="132"/>
      <c r="GA739" s="132"/>
      <c r="GB739" s="132"/>
      <c r="GC739" s="132"/>
      <c r="GD739" s="132"/>
      <c r="GE739" s="132"/>
      <c r="GF739" s="132"/>
      <c r="GG739" s="132"/>
      <c r="GH739" s="132"/>
      <c r="GI739" s="132"/>
      <c r="GJ739" s="132"/>
      <c r="GK739" s="132"/>
      <c r="GL739" s="132"/>
      <c r="GM739" s="132"/>
      <c r="GN739" s="132"/>
      <c r="GO739" s="132"/>
      <c r="GP739" s="132"/>
      <c r="GQ739" s="132"/>
      <c r="GR739" s="132"/>
      <c r="GS739" s="132"/>
      <c r="GT739" s="132"/>
      <c r="GU739" s="132"/>
      <c r="GV739" s="132"/>
      <c r="GW739" s="132"/>
      <c r="GX739" s="132"/>
      <c r="GY739" s="132"/>
      <c r="GZ739" s="132"/>
      <c r="HA739" s="132"/>
      <c r="HB739" s="132"/>
      <c r="HC739" s="132"/>
      <c r="HD739" s="132"/>
      <c r="HE739" s="132"/>
      <c r="HF739" s="132"/>
      <c r="HG739" s="132"/>
      <c r="HH739" s="132"/>
      <c r="HI739" s="132"/>
      <c r="HJ739" s="132"/>
      <c r="HK739" s="132"/>
      <c r="HL739" s="132"/>
      <c r="HM739" s="132"/>
      <c r="HN739" s="132"/>
      <c r="HO739" s="132"/>
      <c r="HP739" s="132"/>
      <c r="HQ739" s="132"/>
      <c r="HR739" s="132"/>
      <c r="HS739" s="132"/>
      <c r="HT739" s="132"/>
      <c r="HU739" s="132"/>
      <c r="HV739" s="132"/>
      <c r="HW739" s="132"/>
      <c r="HX739" s="132"/>
      <c r="HY739" s="132"/>
      <c r="HZ739" s="132"/>
      <c r="IA739" s="132"/>
      <c r="IB739" s="132"/>
      <c r="IC739" s="132"/>
      <c r="ID739" s="132"/>
      <c r="IE739" s="132"/>
      <c r="IF739" s="132"/>
      <c r="IG739" s="132"/>
      <c r="IH739" s="132"/>
      <c r="II739" s="132"/>
      <c r="IJ739" s="132"/>
      <c r="IK739" s="132"/>
      <c r="IL739" s="132"/>
      <c r="IM739" s="132"/>
      <c r="IN739" s="132"/>
      <c r="IO739" s="132"/>
      <c r="IP739" s="132"/>
      <c r="IQ739" s="132"/>
      <c r="IR739" s="132"/>
      <c r="IS739" s="132"/>
      <c r="IT739" s="132"/>
    </row>
    <row r="740" spans="1:254" ht="63.75">
      <c r="A740" s="342"/>
      <c r="B740" s="146" t="s">
        <v>368</v>
      </c>
      <c r="C740" s="340"/>
      <c r="D740" s="329"/>
      <c r="F740" s="911"/>
      <c r="G740" s="159"/>
      <c r="H740" s="132"/>
      <c r="I740" s="132"/>
      <c r="J740" s="132"/>
      <c r="K740" s="132"/>
      <c r="L740" s="132"/>
      <c r="M740" s="132"/>
      <c r="N740" s="132"/>
      <c r="O740" s="132"/>
      <c r="P740" s="132"/>
      <c r="Q740" s="132"/>
      <c r="R740" s="132"/>
      <c r="S740" s="132"/>
      <c r="T740" s="132"/>
      <c r="U740" s="132"/>
      <c r="V740" s="132"/>
      <c r="W740" s="132"/>
      <c r="X740" s="132"/>
      <c r="Y740" s="132"/>
      <c r="Z740" s="132"/>
      <c r="AA740" s="132"/>
      <c r="AB740" s="132"/>
      <c r="AC740" s="132"/>
      <c r="AD740" s="132"/>
      <c r="AE740" s="132"/>
      <c r="AF740" s="132"/>
      <c r="AG740" s="132"/>
      <c r="AH740" s="132"/>
      <c r="AI740" s="132"/>
      <c r="AJ740" s="132"/>
      <c r="AK740" s="132"/>
      <c r="AL740" s="132"/>
      <c r="AM740" s="132"/>
      <c r="AN740" s="132"/>
      <c r="AO740" s="132"/>
      <c r="AP740" s="132"/>
      <c r="AQ740" s="132"/>
      <c r="AR740" s="132"/>
      <c r="AS740" s="132"/>
      <c r="AT740" s="132"/>
      <c r="AU740" s="132"/>
      <c r="AV740" s="132"/>
      <c r="AW740" s="132"/>
      <c r="AX740" s="132"/>
      <c r="AY740" s="132"/>
      <c r="AZ740" s="132"/>
      <c r="BA740" s="132"/>
      <c r="BB740" s="132"/>
      <c r="BC740" s="132"/>
      <c r="BD740" s="132"/>
      <c r="BE740" s="132"/>
      <c r="BF740" s="132"/>
      <c r="BG740" s="132"/>
      <c r="BH740" s="132"/>
      <c r="BI740" s="132"/>
      <c r="BJ740" s="132"/>
      <c r="BK740" s="132"/>
      <c r="BL740" s="132"/>
      <c r="BM740" s="132"/>
      <c r="BN740" s="132"/>
      <c r="BO740" s="132"/>
      <c r="BP740" s="132"/>
      <c r="BQ740" s="132"/>
      <c r="BR740" s="132"/>
      <c r="BS740" s="132"/>
      <c r="BT740" s="132"/>
      <c r="BU740" s="132"/>
      <c r="BV740" s="132"/>
      <c r="BW740" s="132"/>
      <c r="BX740" s="132"/>
      <c r="BY740" s="132"/>
      <c r="BZ740" s="132"/>
      <c r="CA740" s="132"/>
      <c r="CB740" s="132"/>
      <c r="CC740" s="132"/>
      <c r="CD740" s="132"/>
      <c r="CE740" s="132"/>
      <c r="CF740" s="132"/>
      <c r="CG740" s="132"/>
      <c r="CH740" s="132"/>
      <c r="CI740" s="132"/>
      <c r="CJ740" s="132"/>
      <c r="CK740" s="132"/>
      <c r="CL740" s="132"/>
      <c r="CM740" s="132"/>
      <c r="CN740" s="132"/>
      <c r="CO740" s="132"/>
      <c r="CP740" s="132"/>
      <c r="CQ740" s="132"/>
      <c r="CR740" s="132"/>
      <c r="CS740" s="132"/>
      <c r="CT740" s="132"/>
      <c r="CU740" s="132"/>
      <c r="CV740" s="132"/>
      <c r="CW740" s="132"/>
      <c r="CX740" s="132"/>
      <c r="CY740" s="132"/>
      <c r="CZ740" s="132"/>
      <c r="DA740" s="132"/>
      <c r="DB740" s="132"/>
      <c r="DC740" s="132"/>
      <c r="DD740" s="132"/>
      <c r="DE740" s="132"/>
      <c r="DF740" s="132"/>
      <c r="DG740" s="132"/>
      <c r="DH740" s="132"/>
      <c r="DI740" s="132"/>
      <c r="DJ740" s="132"/>
      <c r="DK740" s="132"/>
      <c r="DL740" s="132"/>
      <c r="DM740" s="132"/>
      <c r="DN740" s="132"/>
      <c r="DO740" s="132"/>
      <c r="DP740" s="132"/>
      <c r="DQ740" s="132"/>
      <c r="DR740" s="132"/>
      <c r="DS740" s="132"/>
      <c r="DT740" s="132"/>
      <c r="DU740" s="132"/>
      <c r="DV740" s="132"/>
      <c r="DW740" s="132"/>
      <c r="DX740" s="132"/>
      <c r="DY740" s="132"/>
      <c r="DZ740" s="132"/>
      <c r="EA740" s="132"/>
      <c r="EB740" s="132"/>
      <c r="EC740" s="132"/>
      <c r="ED740" s="132"/>
      <c r="EE740" s="132"/>
      <c r="EF740" s="132"/>
      <c r="EG740" s="132"/>
      <c r="EH740" s="132"/>
      <c r="EI740" s="132"/>
      <c r="EJ740" s="132"/>
      <c r="EK740" s="132"/>
      <c r="EL740" s="132"/>
      <c r="EM740" s="132"/>
      <c r="EN740" s="132"/>
      <c r="EO740" s="132"/>
      <c r="EP740" s="132"/>
      <c r="EQ740" s="132"/>
      <c r="ER740" s="132"/>
      <c r="ES740" s="132"/>
      <c r="ET740" s="132"/>
      <c r="EU740" s="132"/>
      <c r="EV740" s="132"/>
      <c r="EW740" s="132"/>
      <c r="EX740" s="132"/>
      <c r="EY740" s="132"/>
      <c r="EZ740" s="132"/>
      <c r="FA740" s="132"/>
      <c r="FB740" s="132"/>
      <c r="FC740" s="132"/>
      <c r="FD740" s="132"/>
      <c r="FE740" s="132"/>
      <c r="FF740" s="132"/>
      <c r="FG740" s="132"/>
      <c r="FH740" s="132"/>
      <c r="FI740" s="132"/>
      <c r="FJ740" s="132"/>
      <c r="FK740" s="132"/>
      <c r="FL740" s="132"/>
      <c r="FM740" s="132"/>
      <c r="FN740" s="132"/>
      <c r="FO740" s="132"/>
      <c r="FP740" s="132"/>
      <c r="FQ740" s="132"/>
      <c r="FR740" s="132"/>
      <c r="FS740" s="132"/>
      <c r="FT740" s="132"/>
      <c r="FU740" s="132"/>
      <c r="FV740" s="132"/>
      <c r="FW740" s="132"/>
      <c r="FX740" s="132"/>
      <c r="FY740" s="132"/>
      <c r="FZ740" s="132"/>
      <c r="GA740" s="132"/>
      <c r="GB740" s="132"/>
      <c r="GC740" s="132"/>
      <c r="GD740" s="132"/>
      <c r="GE740" s="132"/>
      <c r="GF740" s="132"/>
      <c r="GG740" s="132"/>
      <c r="GH740" s="132"/>
      <c r="GI740" s="132"/>
      <c r="GJ740" s="132"/>
      <c r="GK740" s="132"/>
      <c r="GL740" s="132"/>
      <c r="GM740" s="132"/>
      <c r="GN740" s="132"/>
      <c r="GO740" s="132"/>
      <c r="GP740" s="132"/>
      <c r="GQ740" s="132"/>
      <c r="GR740" s="132"/>
      <c r="GS740" s="132"/>
      <c r="GT740" s="132"/>
      <c r="GU740" s="132"/>
      <c r="GV740" s="132"/>
      <c r="GW740" s="132"/>
      <c r="GX740" s="132"/>
      <c r="GY740" s="132"/>
      <c r="GZ740" s="132"/>
      <c r="HA740" s="132"/>
      <c r="HB740" s="132"/>
      <c r="HC740" s="132"/>
      <c r="HD740" s="132"/>
      <c r="HE740" s="132"/>
      <c r="HF740" s="132"/>
      <c r="HG740" s="132"/>
      <c r="HH740" s="132"/>
      <c r="HI740" s="132"/>
      <c r="HJ740" s="132"/>
      <c r="HK740" s="132"/>
      <c r="HL740" s="132"/>
      <c r="HM740" s="132"/>
      <c r="HN740" s="132"/>
      <c r="HO740" s="132"/>
      <c r="HP740" s="132"/>
      <c r="HQ740" s="132"/>
      <c r="HR740" s="132"/>
      <c r="HS740" s="132"/>
      <c r="HT740" s="132"/>
      <c r="HU740" s="132"/>
      <c r="HV740" s="132"/>
      <c r="HW740" s="132"/>
      <c r="HX740" s="132"/>
      <c r="HY740" s="132"/>
      <c r="HZ740" s="132"/>
      <c r="IA740" s="132"/>
      <c r="IB740" s="132"/>
      <c r="IC740" s="132"/>
      <c r="ID740" s="132"/>
      <c r="IE740" s="132"/>
      <c r="IF740" s="132"/>
      <c r="IG740" s="132"/>
      <c r="IH740" s="132"/>
      <c r="II740" s="132"/>
      <c r="IJ740" s="132"/>
      <c r="IK740" s="132"/>
      <c r="IL740" s="132"/>
      <c r="IM740" s="132"/>
      <c r="IN740" s="132"/>
      <c r="IO740" s="132"/>
      <c r="IP740" s="132"/>
      <c r="IQ740" s="132"/>
      <c r="IR740" s="132"/>
      <c r="IS740" s="132"/>
      <c r="IT740" s="132"/>
    </row>
    <row r="741" spans="1:254">
      <c r="A741" s="734" t="s">
        <v>367</v>
      </c>
      <c r="B741" s="146" t="s">
        <v>366</v>
      </c>
      <c r="C741" s="328">
        <v>46</v>
      </c>
      <c r="D741" s="329" t="s">
        <v>108</v>
      </c>
      <c r="E741" s="838"/>
      <c r="F741" s="911">
        <f t="shared" ref="F741:F749" si="21">ROUND(ROUND(C741,2)*ROUND(E741,2),2)</f>
        <v>0</v>
      </c>
      <c r="G741" s="159"/>
      <c r="H741" s="132"/>
      <c r="I741" s="132"/>
      <c r="J741" s="132"/>
      <c r="K741" s="132"/>
      <c r="L741" s="132"/>
      <c r="M741" s="132"/>
      <c r="N741" s="132"/>
      <c r="O741" s="132"/>
      <c r="P741" s="132"/>
      <c r="Q741" s="132"/>
      <c r="R741" s="132"/>
      <c r="S741" s="132"/>
      <c r="T741" s="132"/>
      <c r="U741" s="132"/>
      <c r="V741" s="132"/>
      <c r="W741" s="132"/>
      <c r="X741" s="132"/>
      <c r="Y741" s="132"/>
      <c r="Z741" s="132"/>
      <c r="AA741" s="132"/>
      <c r="AB741" s="132"/>
      <c r="AC741" s="132"/>
      <c r="AD741" s="132"/>
      <c r="AE741" s="132"/>
      <c r="AF741" s="132"/>
      <c r="AG741" s="132"/>
      <c r="AH741" s="132"/>
      <c r="AI741" s="132"/>
      <c r="AJ741" s="132"/>
      <c r="AK741" s="132"/>
      <c r="AL741" s="132"/>
      <c r="AM741" s="132"/>
      <c r="AN741" s="132"/>
      <c r="AO741" s="132"/>
      <c r="AP741" s="132"/>
      <c r="AQ741" s="132"/>
      <c r="AR741" s="132"/>
      <c r="AS741" s="132"/>
      <c r="AT741" s="132"/>
      <c r="AU741" s="132"/>
      <c r="AV741" s="132"/>
      <c r="AW741" s="132"/>
      <c r="AX741" s="132"/>
      <c r="AY741" s="132"/>
      <c r="AZ741" s="132"/>
      <c r="BA741" s="132"/>
      <c r="BB741" s="132"/>
      <c r="BC741" s="132"/>
      <c r="BD741" s="132"/>
      <c r="BE741" s="132"/>
      <c r="BF741" s="132"/>
      <c r="BG741" s="132"/>
      <c r="BH741" s="132"/>
      <c r="BI741" s="132"/>
      <c r="BJ741" s="132"/>
      <c r="BK741" s="132"/>
      <c r="BL741" s="132"/>
      <c r="BM741" s="132"/>
      <c r="BN741" s="132"/>
      <c r="BO741" s="132"/>
      <c r="BP741" s="132"/>
      <c r="BQ741" s="132"/>
      <c r="BR741" s="132"/>
      <c r="BS741" s="132"/>
      <c r="BT741" s="132"/>
      <c r="BU741" s="132"/>
      <c r="BV741" s="132"/>
      <c r="BW741" s="132"/>
      <c r="BX741" s="132"/>
      <c r="BY741" s="132"/>
      <c r="BZ741" s="132"/>
      <c r="CA741" s="132"/>
      <c r="CB741" s="132"/>
      <c r="CC741" s="132"/>
      <c r="CD741" s="132"/>
      <c r="CE741" s="132"/>
      <c r="CF741" s="132"/>
      <c r="CG741" s="132"/>
      <c r="CH741" s="132"/>
      <c r="CI741" s="132"/>
      <c r="CJ741" s="132"/>
      <c r="CK741" s="132"/>
      <c r="CL741" s="132"/>
      <c r="CM741" s="132"/>
      <c r="CN741" s="132"/>
      <c r="CO741" s="132"/>
      <c r="CP741" s="132"/>
      <c r="CQ741" s="132"/>
      <c r="CR741" s="132"/>
      <c r="CS741" s="132"/>
      <c r="CT741" s="132"/>
      <c r="CU741" s="132"/>
      <c r="CV741" s="132"/>
      <c r="CW741" s="132"/>
      <c r="CX741" s="132"/>
      <c r="CY741" s="132"/>
      <c r="CZ741" s="132"/>
      <c r="DA741" s="132"/>
      <c r="DB741" s="132"/>
      <c r="DC741" s="132"/>
      <c r="DD741" s="132"/>
      <c r="DE741" s="132"/>
      <c r="DF741" s="132"/>
      <c r="DG741" s="132"/>
      <c r="DH741" s="132"/>
      <c r="DI741" s="132"/>
      <c r="DJ741" s="132"/>
      <c r="DK741" s="132"/>
      <c r="DL741" s="132"/>
      <c r="DM741" s="132"/>
      <c r="DN741" s="132"/>
      <c r="DO741" s="132"/>
      <c r="DP741" s="132"/>
      <c r="DQ741" s="132"/>
      <c r="DR741" s="132"/>
      <c r="DS741" s="132"/>
      <c r="DT741" s="132"/>
      <c r="DU741" s="132"/>
      <c r="DV741" s="132"/>
      <c r="DW741" s="132"/>
      <c r="DX741" s="132"/>
      <c r="DY741" s="132"/>
      <c r="DZ741" s="132"/>
      <c r="EA741" s="132"/>
      <c r="EB741" s="132"/>
      <c r="EC741" s="132"/>
      <c r="ED741" s="132"/>
      <c r="EE741" s="132"/>
      <c r="EF741" s="132"/>
      <c r="EG741" s="132"/>
      <c r="EH741" s="132"/>
      <c r="EI741" s="132"/>
      <c r="EJ741" s="132"/>
      <c r="EK741" s="132"/>
      <c r="EL741" s="132"/>
      <c r="EM741" s="132"/>
      <c r="EN741" s="132"/>
      <c r="EO741" s="132"/>
      <c r="EP741" s="132"/>
      <c r="EQ741" s="132"/>
      <c r="ER741" s="132"/>
      <c r="ES741" s="132"/>
      <c r="ET741" s="132"/>
      <c r="EU741" s="132"/>
      <c r="EV741" s="132"/>
      <c r="EW741" s="132"/>
      <c r="EX741" s="132"/>
      <c r="EY741" s="132"/>
      <c r="EZ741" s="132"/>
      <c r="FA741" s="132"/>
      <c r="FB741" s="132"/>
      <c r="FC741" s="132"/>
      <c r="FD741" s="132"/>
      <c r="FE741" s="132"/>
      <c r="FF741" s="132"/>
      <c r="FG741" s="132"/>
      <c r="FH741" s="132"/>
      <c r="FI741" s="132"/>
      <c r="FJ741" s="132"/>
      <c r="FK741" s="132"/>
      <c r="FL741" s="132"/>
      <c r="FM741" s="132"/>
      <c r="FN741" s="132"/>
      <c r="FO741" s="132"/>
      <c r="FP741" s="132"/>
      <c r="FQ741" s="132"/>
      <c r="FR741" s="132"/>
      <c r="FS741" s="132"/>
      <c r="FT741" s="132"/>
      <c r="FU741" s="132"/>
      <c r="FV741" s="132"/>
      <c r="FW741" s="132"/>
      <c r="FX741" s="132"/>
      <c r="FY741" s="132"/>
      <c r="FZ741" s="132"/>
      <c r="GA741" s="132"/>
      <c r="GB741" s="132"/>
      <c r="GC741" s="132"/>
      <c r="GD741" s="132"/>
      <c r="GE741" s="132"/>
      <c r="GF741" s="132"/>
      <c r="GG741" s="132"/>
      <c r="GH741" s="132"/>
      <c r="GI741" s="132"/>
      <c r="GJ741" s="132"/>
      <c r="GK741" s="132"/>
      <c r="GL741" s="132"/>
      <c r="GM741" s="132"/>
      <c r="GN741" s="132"/>
      <c r="GO741" s="132"/>
      <c r="GP741" s="132"/>
      <c r="GQ741" s="132"/>
      <c r="GR741" s="132"/>
      <c r="GS741" s="132"/>
      <c r="GT741" s="132"/>
      <c r="GU741" s="132"/>
      <c r="GV741" s="132"/>
      <c r="GW741" s="132"/>
      <c r="GX741" s="132"/>
      <c r="GY741" s="132"/>
      <c r="GZ741" s="132"/>
      <c r="HA741" s="132"/>
      <c r="HB741" s="132"/>
      <c r="HC741" s="132"/>
      <c r="HD741" s="132"/>
      <c r="HE741" s="132"/>
      <c r="HF741" s="132"/>
      <c r="HG741" s="132"/>
      <c r="HH741" s="132"/>
      <c r="HI741" s="132"/>
      <c r="HJ741" s="132"/>
      <c r="HK741" s="132"/>
      <c r="HL741" s="132"/>
      <c r="HM741" s="132"/>
      <c r="HN741" s="132"/>
      <c r="HO741" s="132"/>
      <c r="HP741" s="132"/>
      <c r="HQ741" s="132"/>
      <c r="HR741" s="132"/>
      <c r="HS741" s="132"/>
      <c r="HT741" s="132"/>
      <c r="HU741" s="132"/>
      <c r="HV741" s="132"/>
      <c r="HW741" s="132"/>
      <c r="HX741" s="132"/>
      <c r="HY741" s="132"/>
      <c r="HZ741" s="132"/>
      <c r="IA741" s="132"/>
      <c r="IB741" s="132"/>
      <c r="IC741" s="132"/>
      <c r="ID741" s="132"/>
      <c r="IE741" s="132"/>
      <c r="IF741" s="132"/>
      <c r="IG741" s="132"/>
      <c r="IH741" s="132"/>
      <c r="II741" s="132"/>
      <c r="IJ741" s="132"/>
      <c r="IK741" s="132"/>
      <c r="IL741" s="132"/>
      <c r="IM741" s="132"/>
      <c r="IN741" s="132"/>
      <c r="IO741" s="132"/>
      <c r="IP741" s="132"/>
      <c r="IQ741" s="132"/>
      <c r="IR741" s="132"/>
      <c r="IS741" s="132"/>
      <c r="IT741" s="132"/>
    </row>
    <row r="742" spans="1:254">
      <c r="A742" s="342"/>
      <c r="B742" s="146"/>
      <c r="C742" s="328"/>
      <c r="D742" s="329"/>
      <c r="F742" s="911"/>
      <c r="G742" s="159"/>
      <c r="H742" s="132"/>
      <c r="I742" s="132"/>
      <c r="J742" s="132"/>
      <c r="K742" s="132"/>
      <c r="L742" s="132"/>
      <c r="M742" s="132"/>
      <c r="N742" s="132"/>
      <c r="O742" s="132"/>
      <c r="P742" s="132"/>
      <c r="Q742" s="132"/>
      <c r="R742" s="132"/>
      <c r="S742" s="132"/>
      <c r="T742" s="132"/>
      <c r="U742" s="132"/>
      <c r="V742" s="132"/>
      <c r="W742" s="132"/>
      <c r="X742" s="132"/>
      <c r="Y742" s="132"/>
      <c r="Z742" s="132"/>
      <c r="AA742" s="132"/>
      <c r="AB742" s="132"/>
      <c r="AC742" s="132"/>
      <c r="AD742" s="132"/>
      <c r="AE742" s="132"/>
      <c r="AF742" s="132"/>
      <c r="AG742" s="132"/>
      <c r="AH742" s="132"/>
      <c r="AI742" s="132"/>
      <c r="AJ742" s="132"/>
      <c r="AK742" s="132"/>
      <c r="AL742" s="132"/>
      <c r="AM742" s="132"/>
      <c r="AN742" s="132"/>
      <c r="AO742" s="132"/>
      <c r="AP742" s="132"/>
      <c r="AQ742" s="132"/>
      <c r="AR742" s="132"/>
      <c r="AS742" s="132"/>
      <c r="AT742" s="132"/>
      <c r="AU742" s="132"/>
      <c r="AV742" s="132"/>
      <c r="AW742" s="132"/>
      <c r="AX742" s="132"/>
      <c r="AY742" s="132"/>
      <c r="AZ742" s="132"/>
      <c r="BA742" s="132"/>
      <c r="BB742" s="132"/>
      <c r="BC742" s="132"/>
      <c r="BD742" s="132"/>
      <c r="BE742" s="132"/>
      <c r="BF742" s="132"/>
      <c r="BG742" s="132"/>
      <c r="BH742" s="132"/>
      <c r="BI742" s="132"/>
      <c r="BJ742" s="132"/>
      <c r="BK742" s="132"/>
      <c r="BL742" s="132"/>
      <c r="BM742" s="132"/>
      <c r="BN742" s="132"/>
      <c r="BO742" s="132"/>
      <c r="BP742" s="132"/>
      <c r="BQ742" s="132"/>
      <c r="BR742" s="132"/>
      <c r="BS742" s="132"/>
      <c r="BT742" s="132"/>
      <c r="BU742" s="132"/>
      <c r="BV742" s="132"/>
      <c r="BW742" s="132"/>
      <c r="BX742" s="132"/>
      <c r="BY742" s="132"/>
      <c r="BZ742" s="132"/>
      <c r="CA742" s="132"/>
      <c r="CB742" s="132"/>
      <c r="CC742" s="132"/>
      <c r="CD742" s="132"/>
      <c r="CE742" s="132"/>
      <c r="CF742" s="132"/>
      <c r="CG742" s="132"/>
      <c r="CH742" s="132"/>
      <c r="CI742" s="132"/>
      <c r="CJ742" s="132"/>
      <c r="CK742" s="132"/>
      <c r="CL742" s="132"/>
      <c r="CM742" s="132"/>
      <c r="CN742" s="132"/>
      <c r="CO742" s="132"/>
      <c r="CP742" s="132"/>
      <c r="CQ742" s="132"/>
      <c r="CR742" s="132"/>
      <c r="CS742" s="132"/>
      <c r="CT742" s="132"/>
      <c r="CU742" s="132"/>
      <c r="CV742" s="132"/>
      <c r="CW742" s="132"/>
      <c r="CX742" s="132"/>
      <c r="CY742" s="132"/>
      <c r="CZ742" s="132"/>
      <c r="DA742" s="132"/>
      <c r="DB742" s="132"/>
      <c r="DC742" s="132"/>
      <c r="DD742" s="132"/>
      <c r="DE742" s="132"/>
      <c r="DF742" s="132"/>
      <c r="DG742" s="132"/>
      <c r="DH742" s="132"/>
      <c r="DI742" s="132"/>
      <c r="DJ742" s="132"/>
      <c r="DK742" s="132"/>
      <c r="DL742" s="132"/>
      <c r="DM742" s="132"/>
      <c r="DN742" s="132"/>
      <c r="DO742" s="132"/>
      <c r="DP742" s="132"/>
      <c r="DQ742" s="132"/>
      <c r="DR742" s="132"/>
      <c r="DS742" s="132"/>
      <c r="DT742" s="132"/>
      <c r="DU742" s="132"/>
      <c r="DV742" s="132"/>
      <c r="DW742" s="132"/>
      <c r="DX742" s="132"/>
      <c r="DY742" s="132"/>
      <c r="DZ742" s="132"/>
      <c r="EA742" s="132"/>
      <c r="EB742" s="132"/>
      <c r="EC742" s="132"/>
      <c r="ED742" s="132"/>
      <c r="EE742" s="132"/>
      <c r="EF742" s="132"/>
      <c r="EG742" s="132"/>
      <c r="EH742" s="132"/>
      <c r="EI742" s="132"/>
      <c r="EJ742" s="132"/>
      <c r="EK742" s="132"/>
      <c r="EL742" s="132"/>
      <c r="EM742" s="132"/>
      <c r="EN742" s="132"/>
      <c r="EO742" s="132"/>
      <c r="EP742" s="132"/>
      <c r="EQ742" s="132"/>
      <c r="ER742" s="132"/>
      <c r="ES742" s="132"/>
      <c r="ET742" s="132"/>
      <c r="EU742" s="132"/>
      <c r="EV742" s="132"/>
      <c r="EW742" s="132"/>
      <c r="EX742" s="132"/>
      <c r="EY742" s="132"/>
      <c r="EZ742" s="132"/>
      <c r="FA742" s="132"/>
      <c r="FB742" s="132"/>
      <c r="FC742" s="132"/>
      <c r="FD742" s="132"/>
      <c r="FE742" s="132"/>
      <c r="FF742" s="132"/>
      <c r="FG742" s="132"/>
      <c r="FH742" s="132"/>
      <c r="FI742" s="132"/>
      <c r="FJ742" s="132"/>
      <c r="FK742" s="132"/>
      <c r="FL742" s="132"/>
      <c r="FM742" s="132"/>
      <c r="FN742" s="132"/>
      <c r="FO742" s="132"/>
      <c r="FP742" s="132"/>
      <c r="FQ742" s="132"/>
      <c r="FR742" s="132"/>
      <c r="FS742" s="132"/>
      <c r="FT742" s="132"/>
      <c r="FU742" s="132"/>
      <c r="FV742" s="132"/>
      <c r="FW742" s="132"/>
      <c r="FX742" s="132"/>
      <c r="FY742" s="132"/>
      <c r="FZ742" s="132"/>
      <c r="GA742" s="132"/>
      <c r="GB742" s="132"/>
      <c r="GC742" s="132"/>
      <c r="GD742" s="132"/>
      <c r="GE742" s="132"/>
      <c r="GF742" s="132"/>
      <c r="GG742" s="132"/>
      <c r="GH742" s="132"/>
      <c r="GI742" s="132"/>
      <c r="GJ742" s="132"/>
      <c r="GK742" s="132"/>
      <c r="GL742" s="132"/>
      <c r="GM742" s="132"/>
      <c r="GN742" s="132"/>
      <c r="GO742" s="132"/>
      <c r="GP742" s="132"/>
      <c r="GQ742" s="132"/>
      <c r="GR742" s="132"/>
      <c r="GS742" s="132"/>
      <c r="GT742" s="132"/>
      <c r="GU742" s="132"/>
      <c r="GV742" s="132"/>
      <c r="GW742" s="132"/>
      <c r="GX742" s="132"/>
      <c r="GY742" s="132"/>
      <c r="GZ742" s="132"/>
      <c r="HA742" s="132"/>
      <c r="HB742" s="132"/>
      <c r="HC742" s="132"/>
      <c r="HD742" s="132"/>
      <c r="HE742" s="132"/>
      <c r="HF742" s="132"/>
      <c r="HG742" s="132"/>
      <c r="HH742" s="132"/>
      <c r="HI742" s="132"/>
      <c r="HJ742" s="132"/>
      <c r="HK742" s="132"/>
      <c r="HL742" s="132"/>
      <c r="HM742" s="132"/>
      <c r="HN742" s="132"/>
      <c r="HO742" s="132"/>
      <c r="HP742" s="132"/>
      <c r="HQ742" s="132"/>
      <c r="HR742" s="132"/>
      <c r="HS742" s="132"/>
      <c r="HT742" s="132"/>
      <c r="HU742" s="132"/>
      <c r="HV742" s="132"/>
      <c r="HW742" s="132"/>
      <c r="HX742" s="132"/>
      <c r="HY742" s="132"/>
      <c r="HZ742" s="132"/>
      <c r="IA742" s="132"/>
      <c r="IB742" s="132"/>
      <c r="IC742" s="132"/>
      <c r="ID742" s="132"/>
      <c r="IE742" s="132"/>
      <c r="IF742" s="132"/>
      <c r="IG742" s="132"/>
      <c r="IH742" s="132"/>
      <c r="II742" s="132"/>
      <c r="IJ742" s="132"/>
      <c r="IK742" s="132"/>
      <c r="IL742" s="132"/>
      <c r="IM742" s="132"/>
      <c r="IN742" s="132"/>
      <c r="IO742" s="132"/>
      <c r="IP742" s="132"/>
      <c r="IQ742" s="132"/>
      <c r="IR742" s="132"/>
      <c r="IS742" s="132"/>
      <c r="IT742" s="132"/>
    </row>
    <row r="743" spans="1:254" ht="51">
      <c r="A743" s="342"/>
      <c r="B743" s="146" t="s">
        <v>365</v>
      </c>
      <c r="C743" s="340"/>
      <c r="D743" s="329"/>
      <c r="F743" s="911"/>
      <c r="G743" s="159"/>
      <c r="H743" s="132"/>
      <c r="I743" s="132"/>
      <c r="J743" s="132"/>
      <c r="K743" s="132"/>
      <c r="L743" s="132"/>
      <c r="M743" s="132"/>
      <c r="N743" s="132"/>
      <c r="O743" s="132"/>
      <c r="P743" s="132"/>
      <c r="Q743" s="132"/>
      <c r="R743" s="132"/>
      <c r="S743" s="132"/>
      <c r="T743" s="132"/>
      <c r="U743" s="132"/>
      <c r="V743" s="132"/>
      <c r="W743" s="132"/>
      <c r="X743" s="132"/>
      <c r="Y743" s="132"/>
      <c r="Z743" s="132"/>
      <c r="AA743" s="132"/>
      <c r="AB743" s="132"/>
      <c r="AC743" s="132"/>
      <c r="AD743" s="132"/>
      <c r="AE743" s="132"/>
      <c r="AF743" s="132"/>
      <c r="AG743" s="132"/>
      <c r="AH743" s="132"/>
      <c r="AI743" s="132"/>
      <c r="AJ743" s="132"/>
      <c r="AK743" s="132"/>
      <c r="AL743" s="132"/>
      <c r="AM743" s="132"/>
      <c r="AN743" s="132"/>
      <c r="AO743" s="132"/>
      <c r="AP743" s="132"/>
      <c r="AQ743" s="132"/>
      <c r="AR743" s="132"/>
      <c r="AS743" s="132"/>
      <c r="AT743" s="132"/>
      <c r="AU743" s="132"/>
      <c r="AV743" s="132"/>
      <c r="AW743" s="132"/>
      <c r="AX743" s="132"/>
      <c r="AY743" s="132"/>
      <c r="AZ743" s="132"/>
      <c r="BA743" s="132"/>
      <c r="BB743" s="132"/>
      <c r="BC743" s="132"/>
      <c r="BD743" s="132"/>
      <c r="BE743" s="132"/>
      <c r="BF743" s="132"/>
      <c r="BG743" s="132"/>
      <c r="BH743" s="132"/>
      <c r="BI743" s="132"/>
      <c r="BJ743" s="132"/>
      <c r="BK743" s="132"/>
      <c r="BL743" s="132"/>
      <c r="BM743" s="132"/>
      <c r="BN743" s="132"/>
      <c r="BO743" s="132"/>
      <c r="BP743" s="132"/>
      <c r="BQ743" s="132"/>
      <c r="BR743" s="132"/>
      <c r="BS743" s="132"/>
      <c r="BT743" s="132"/>
      <c r="BU743" s="132"/>
      <c r="BV743" s="132"/>
      <c r="BW743" s="132"/>
      <c r="BX743" s="132"/>
      <c r="BY743" s="132"/>
      <c r="BZ743" s="132"/>
      <c r="CA743" s="132"/>
      <c r="CB743" s="132"/>
      <c r="CC743" s="132"/>
      <c r="CD743" s="132"/>
      <c r="CE743" s="132"/>
      <c r="CF743" s="132"/>
      <c r="CG743" s="132"/>
      <c r="CH743" s="132"/>
      <c r="CI743" s="132"/>
      <c r="CJ743" s="132"/>
      <c r="CK743" s="132"/>
      <c r="CL743" s="132"/>
      <c r="CM743" s="132"/>
      <c r="CN743" s="132"/>
      <c r="CO743" s="132"/>
      <c r="CP743" s="132"/>
      <c r="CQ743" s="132"/>
      <c r="CR743" s="132"/>
      <c r="CS743" s="132"/>
      <c r="CT743" s="132"/>
      <c r="CU743" s="132"/>
      <c r="CV743" s="132"/>
      <c r="CW743" s="132"/>
      <c r="CX743" s="132"/>
      <c r="CY743" s="132"/>
      <c r="CZ743" s="132"/>
      <c r="DA743" s="132"/>
      <c r="DB743" s="132"/>
      <c r="DC743" s="132"/>
      <c r="DD743" s="132"/>
      <c r="DE743" s="132"/>
      <c r="DF743" s="132"/>
      <c r="DG743" s="132"/>
      <c r="DH743" s="132"/>
      <c r="DI743" s="132"/>
      <c r="DJ743" s="132"/>
      <c r="DK743" s="132"/>
      <c r="DL743" s="132"/>
      <c r="DM743" s="132"/>
      <c r="DN743" s="132"/>
      <c r="DO743" s="132"/>
      <c r="DP743" s="132"/>
      <c r="DQ743" s="132"/>
      <c r="DR743" s="132"/>
      <c r="DS743" s="132"/>
      <c r="DT743" s="132"/>
      <c r="DU743" s="132"/>
      <c r="DV743" s="132"/>
      <c r="DW743" s="132"/>
      <c r="DX743" s="132"/>
      <c r="DY743" s="132"/>
      <c r="DZ743" s="132"/>
      <c r="EA743" s="132"/>
      <c r="EB743" s="132"/>
      <c r="EC743" s="132"/>
      <c r="ED743" s="132"/>
      <c r="EE743" s="132"/>
      <c r="EF743" s="132"/>
      <c r="EG743" s="132"/>
      <c r="EH743" s="132"/>
      <c r="EI743" s="132"/>
      <c r="EJ743" s="132"/>
      <c r="EK743" s="132"/>
      <c r="EL743" s="132"/>
      <c r="EM743" s="132"/>
      <c r="EN743" s="132"/>
      <c r="EO743" s="132"/>
      <c r="EP743" s="132"/>
      <c r="EQ743" s="132"/>
      <c r="ER743" s="132"/>
      <c r="ES743" s="132"/>
      <c r="ET743" s="132"/>
      <c r="EU743" s="132"/>
      <c r="EV743" s="132"/>
      <c r="EW743" s="132"/>
      <c r="EX743" s="132"/>
      <c r="EY743" s="132"/>
      <c r="EZ743" s="132"/>
      <c r="FA743" s="132"/>
      <c r="FB743" s="132"/>
      <c r="FC743" s="132"/>
      <c r="FD743" s="132"/>
      <c r="FE743" s="132"/>
      <c r="FF743" s="132"/>
      <c r="FG743" s="132"/>
      <c r="FH743" s="132"/>
      <c r="FI743" s="132"/>
      <c r="FJ743" s="132"/>
      <c r="FK743" s="132"/>
      <c r="FL743" s="132"/>
      <c r="FM743" s="132"/>
      <c r="FN743" s="132"/>
      <c r="FO743" s="132"/>
      <c r="FP743" s="132"/>
      <c r="FQ743" s="132"/>
      <c r="FR743" s="132"/>
      <c r="FS743" s="132"/>
      <c r="FT743" s="132"/>
      <c r="FU743" s="132"/>
      <c r="FV743" s="132"/>
      <c r="FW743" s="132"/>
      <c r="FX743" s="132"/>
      <c r="FY743" s="132"/>
      <c r="FZ743" s="132"/>
      <c r="GA743" s="132"/>
      <c r="GB743" s="132"/>
      <c r="GC743" s="132"/>
      <c r="GD743" s="132"/>
      <c r="GE743" s="132"/>
      <c r="GF743" s="132"/>
      <c r="GG743" s="132"/>
      <c r="GH743" s="132"/>
      <c r="GI743" s="132"/>
      <c r="GJ743" s="132"/>
      <c r="GK743" s="132"/>
      <c r="GL743" s="132"/>
      <c r="GM743" s="132"/>
      <c r="GN743" s="132"/>
      <c r="GO743" s="132"/>
      <c r="GP743" s="132"/>
      <c r="GQ743" s="132"/>
      <c r="GR743" s="132"/>
      <c r="GS743" s="132"/>
      <c r="GT743" s="132"/>
      <c r="GU743" s="132"/>
      <c r="GV743" s="132"/>
      <c r="GW743" s="132"/>
      <c r="GX743" s="132"/>
      <c r="GY743" s="132"/>
      <c r="GZ743" s="132"/>
      <c r="HA743" s="132"/>
      <c r="HB743" s="132"/>
      <c r="HC743" s="132"/>
      <c r="HD743" s="132"/>
      <c r="HE743" s="132"/>
      <c r="HF743" s="132"/>
      <c r="HG743" s="132"/>
      <c r="HH743" s="132"/>
      <c r="HI743" s="132"/>
      <c r="HJ743" s="132"/>
      <c r="HK743" s="132"/>
      <c r="HL743" s="132"/>
      <c r="HM743" s="132"/>
      <c r="HN743" s="132"/>
      <c r="HO743" s="132"/>
      <c r="HP743" s="132"/>
      <c r="HQ743" s="132"/>
      <c r="HR743" s="132"/>
      <c r="HS743" s="132"/>
      <c r="HT743" s="132"/>
      <c r="HU743" s="132"/>
      <c r="HV743" s="132"/>
      <c r="HW743" s="132"/>
      <c r="HX743" s="132"/>
      <c r="HY743" s="132"/>
      <c r="HZ743" s="132"/>
      <c r="IA743" s="132"/>
      <c r="IB743" s="132"/>
      <c r="IC743" s="132"/>
      <c r="ID743" s="132"/>
      <c r="IE743" s="132"/>
      <c r="IF743" s="132"/>
      <c r="IG743" s="132"/>
      <c r="IH743" s="132"/>
      <c r="II743" s="132"/>
      <c r="IJ743" s="132"/>
      <c r="IK743" s="132"/>
      <c r="IL743" s="132"/>
      <c r="IM743" s="132"/>
      <c r="IN743" s="132"/>
      <c r="IO743" s="132"/>
      <c r="IP743" s="132"/>
      <c r="IQ743" s="132"/>
      <c r="IR743" s="132"/>
      <c r="IS743" s="132"/>
      <c r="IT743" s="132"/>
    </row>
    <row r="744" spans="1:254">
      <c r="A744" s="734" t="s">
        <v>364</v>
      </c>
      <c r="B744" s="146" t="s">
        <v>363</v>
      </c>
      <c r="C744" s="328">
        <v>14</v>
      </c>
      <c r="D744" s="329" t="s">
        <v>100</v>
      </c>
      <c r="E744" s="838"/>
      <c r="F744" s="911">
        <f t="shared" si="21"/>
        <v>0</v>
      </c>
      <c r="G744" s="159"/>
      <c r="H744" s="132"/>
      <c r="I744" s="132"/>
      <c r="J744" s="132"/>
      <c r="K744" s="132"/>
      <c r="L744" s="132"/>
      <c r="M744" s="132"/>
      <c r="N744" s="132"/>
      <c r="O744" s="132"/>
      <c r="P744" s="132"/>
      <c r="Q744" s="132"/>
      <c r="R744" s="132"/>
      <c r="S744" s="132"/>
      <c r="T744" s="132"/>
      <c r="U744" s="132"/>
      <c r="V744" s="132"/>
      <c r="W744" s="132"/>
      <c r="X744" s="132"/>
      <c r="Y744" s="132"/>
      <c r="Z744" s="132"/>
      <c r="AA744" s="132"/>
      <c r="AB744" s="132"/>
      <c r="AC744" s="132"/>
      <c r="AD744" s="132"/>
      <c r="AE744" s="132"/>
      <c r="AF744" s="132"/>
      <c r="AG744" s="132"/>
      <c r="AH744" s="132"/>
      <c r="AI744" s="132"/>
      <c r="AJ744" s="132"/>
      <c r="AK744" s="132"/>
      <c r="AL744" s="132"/>
      <c r="AM744" s="132"/>
      <c r="AN744" s="132"/>
      <c r="AO744" s="132"/>
      <c r="AP744" s="132"/>
      <c r="AQ744" s="132"/>
      <c r="AR744" s="132"/>
      <c r="AS744" s="132"/>
      <c r="AT744" s="132"/>
      <c r="AU744" s="132"/>
      <c r="AV744" s="132"/>
      <c r="AW744" s="132"/>
      <c r="AX744" s="132"/>
      <c r="AY744" s="132"/>
      <c r="AZ744" s="132"/>
      <c r="BA744" s="132"/>
      <c r="BB744" s="132"/>
      <c r="BC744" s="132"/>
      <c r="BD744" s="132"/>
      <c r="BE744" s="132"/>
      <c r="BF744" s="132"/>
      <c r="BG744" s="132"/>
      <c r="BH744" s="132"/>
      <c r="BI744" s="132"/>
      <c r="BJ744" s="132"/>
      <c r="BK744" s="132"/>
      <c r="BL744" s="132"/>
      <c r="BM744" s="132"/>
      <c r="BN744" s="132"/>
      <c r="BO744" s="132"/>
      <c r="BP744" s="132"/>
      <c r="BQ744" s="132"/>
      <c r="BR744" s="132"/>
      <c r="BS744" s="132"/>
      <c r="BT744" s="132"/>
      <c r="BU744" s="132"/>
      <c r="BV744" s="132"/>
      <c r="BW744" s="132"/>
      <c r="BX744" s="132"/>
      <c r="BY744" s="132"/>
      <c r="BZ744" s="132"/>
      <c r="CA744" s="132"/>
      <c r="CB744" s="132"/>
      <c r="CC744" s="132"/>
      <c r="CD744" s="132"/>
      <c r="CE744" s="132"/>
      <c r="CF744" s="132"/>
      <c r="CG744" s="132"/>
      <c r="CH744" s="132"/>
      <c r="CI744" s="132"/>
      <c r="CJ744" s="132"/>
      <c r="CK744" s="132"/>
      <c r="CL744" s="132"/>
      <c r="CM744" s="132"/>
      <c r="CN744" s="132"/>
      <c r="CO744" s="132"/>
      <c r="CP744" s="132"/>
      <c r="CQ744" s="132"/>
      <c r="CR744" s="132"/>
      <c r="CS744" s="132"/>
      <c r="CT744" s="132"/>
      <c r="CU744" s="132"/>
      <c r="CV744" s="132"/>
      <c r="CW744" s="132"/>
      <c r="CX744" s="132"/>
      <c r="CY744" s="132"/>
      <c r="CZ744" s="132"/>
      <c r="DA744" s="132"/>
      <c r="DB744" s="132"/>
      <c r="DC744" s="132"/>
      <c r="DD744" s="132"/>
      <c r="DE744" s="132"/>
      <c r="DF744" s="132"/>
      <c r="DG744" s="132"/>
      <c r="DH744" s="132"/>
      <c r="DI744" s="132"/>
      <c r="DJ744" s="132"/>
      <c r="DK744" s="132"/>
      <c r="DL744" s="132"/>
      <c r="DM744" s="132"/>
      <c r="DN744" s="132"/>
      <c r="DO744" s="132"/>
      <c r="DP744" s="132"/>
      <c r="DQ744" s="132"/>
      <c r="DR744" s="132"/>
      <c r="DS744" s="132"/>
      <c r="DT744" s="132"/>
      <c r="DU744" s="132"/>
      <c r="DV744" s="132"/>
      <c r="DW744" s="132"/>
      <c r="DX744" s="132"/>
      <c r="DY744" s="132"/>
      <c r="DZ744" s="132"/>
      <c r="EA744" s="132"/>
      <c r="EB744" s="132"/>
      <c r="EC744" s="132"/>
      <c r="ED744" s="132"/>
      <c r="EE744" s="132"/>
      <c r="EF744" s="132"/>
      <c r="EG744" s="132"/>
      <c r="EH744" s="132"/>
      <c r="EI744" s="132"/>
      <c r="EJ744" s="132"/>
      <c r="EK744" s="132"/>
      <c r="EL744" s="132"/>
      <c r="EM744" s="132"/>
      <c r="EN744" s="132"/>
      <c r="EO744" s="132"/>
      <c r="EP744" s="132"/>
      <c r="EQ744" s="132"/>
      <c r="ER744" s="132"/>
      <c r="ES744" s="132"/>
      <c r="ET744" s="132"/>
      <c r="EU744" s="132"/>
      <c r="EV744" s="132"/>
      <c r="EW744" s="132"/>
      <c r="EX744" s="132"/>
      <c r="EY744" s="132"/>
      <c r="EZ744" s="132"/>
      <c r="FA744" s="132"/>
      <c r="FB744" s="132"/>
      <c r="FC744" s="132"/>
      <c r="FD744" s="132"/>
      <c r="FE744" s="132"/>
      <c r="FF744" s="132"/>
      <c r="FG744" s="132"/>
      <c r="FH744" s="132"/>
      <c r="FI744" s="132"/>
      <c r="FJ744" s="132"/>
      <c r="FK744" s="132"/>
      <c r="FL744" s="132"/>
      <c r="FM744" s="132"/>
      <c r="FN744" s="132"/>
      <c r="FO744" s="132"/>
      <c r="FP744" s="132"/>
      <c r="FQ744" s="132"/>
      <c r="FR744" s="132"/>
      <c r="FS744" s="132"/>
      <c r="FT744" s="132"/>
      <c r="FU744" s="132"/>
      <c r="FV744" s="132"/>
      <c r="FW744" s="132"/>
      <c r="FX744" s="132"/>
      <c r="FY744" s="132"/>
      <c r="FZ744" s="132"/>
      <c r="GA744" s="132"/>
      <c r="GB744" s="132"/>
      <c r="GC744" s="132"/>
      <c r="GD744" s="132"/>
      <c r="GE744" s="132"/>
      <c r="GF744" s="132"/>
      <c r="GG744" s="132"/>
      <c r="GH744" s="132"/>
      <c r="GI744" s="132"/>
      <c r="GJ744" s="132"/>
      <c r="GK744" s="132"/>
      <c r="GL744" s="132"/>
      <c r="GM744" s="132"/>
      <c r="GN744" s="132"/>
      <c r="GO744" s="132"/>
      <c r="GP744" s="132"/>
      <c r="GQ744" s="132"/>
      <c r="GR744" s="132"/>
      <c r="GS744" s="132"/>
      <c r="GT744" s="132"/>
      <c r="GU744" s="132"/>
      <c r="GV744" s="132"/>
      <c r="GW744" s="132"/>
      <c r="GX744" s="132"/>
      <c r="GY744" s="132"/>
      <c r="GZ744" s="132"/>
      <c r="HA744" s="132"/>
      <c r="HB744" s="132"/>
      <c r="HC744" s="132"/>
      <c r="HD744" s="132"/>
      <c r="HE744" s="132"/>
      <c r="HF744" s="132"/>
      <c r="HG744" s="132"/>
      <c r="HH744" s="132"/>
      <c r="HI744" s="132"/>
      <c r="HJ744" s="132"/>
      <c r="HK744" s="132"/>
      <c r="HL744" s="132"/>
      <c r="HM744" s="132"/>
      <c r="HN744" s="132"/>
      <c r="HO744" s="132"/>
      <c r="HP744" s="132"/>
      <c r="HQ744" s="132"/>
      <c r="HR744" s="132"/>
      <c r="HS744" s="132"/>
      <c r="HT744" s="132"/>
      <c r="HU744" s="132"/>
      <c r="HV744" s="132"/>
      <c r="HW744" s="132"/>
      <c r="HX744" s="132"/>
      <c r="HY744" s="132"/>
      <c r="HZ744" s="132"/>
      <c r="IA744" s="132"/>
      <c r="IB744" s="132"/>
      <c r="IC744" s="132"/>
      <c r="ID744" s="132"/>
      <c r="IE744" s="132"/>
      <c r="IF744" s="132"/>
      <c r="IG744" s="132"/>
      <c r="IH744" s="132"/>
      <c r="II744" s="132"/>
      <c r="IJ744" s="132"/>
      <c r="IK744" s="132"/>
      <c r="IL744" s="132"/>
      <c r="IM744" s="132"/>
      <c r="IN744" s="132"/>
      <c r="IO744" s="132"/>
      <c r="IP744" s="132"/>
      <c r="IQ744" s="132"/>
      <c r="IR744" s="132"/>
      <c r="IS744" s="132"/>
      <c r="IT744" s="132"/>
    </row>
    <row r="745" spans="1:254">
      <c r="A745" s="734" t="s">
        <v>362</v>
      </c>
      <c r="B745" s="146" t="s">
        <v>361</v>
      </c>
      <c r="C745" s="328">
        <f>1.36*6</f>
        <v>8.16</v>
      </c>
      <c r="D745" s="329" t="s">
        <v>100</v>
      </c>
      <c r="E745" s="838"/>
      <c r="F745" s="911">
        <f t="shared" si="21"/>
        <v>0</v>
      </c>
      <c r="G745" s="159"/>
      <c r="H745" s="132"/>
      <c r="I745" s="132"/>
      <c r="J745" s="132"/>
      <c r="K745" s="132"/>
      <c r="L745" s="132"/>
      <c r="M745" s="132"/>
      <c r="N745" s="132"/>
      <c r="O745" s="132"/>
      <c r="P745" s="132"/>
      <c r="Q745" s="132"/>
      <c r="R745" s="132"/>
      <c r="S745" s="132"/>
      <c r="T745" s="132"/>
      <c r="U745" s="132"/>
      <c r="V745" s="132"/>
      <c r="W745" s="132"/>
      <c r="X745" s="132"/>
      <c r="Y745" s="132"/>
      <c r="Z745" s="132"/>
      <c r="AA745" s="132"/>
      <c r="AB745" s="132"/>
      <c r="AC745" s="132"/>
      <c r="AD745" s="132"/>
      <c r="AE745" s="132"/>
      <c r="AF745" s="132"/>
      <c r="AG745" s="132"/>
      <c r="AH745" s="132"/>
      <c r="AI745" s="132"/>
      <c r="AJ745" s="132"/>
      <c r="AK745" s="132"/>
      <c r="AL745" s="132"/>
      <c r="AM745" s="132"/>
      <c r="AN745" s="132"/>
      <c r="AO745" s="132"/>
      <c r="AP745" s="132"/>
      <c r="AQ745" s="132"/>
      <c r="AR745" s="132"/>
      <c r="AS745" s="132"/>
      <c r="AT745" s="132"/>
      <c r="AU745" s="132"/>
      <c r="AV745" s="132"/>
      <c r="AW745" s="132"/>
      <c r="AX745" s="132"/>
      <c r="AY745" s="132"/>
      <c r="AZ745" s="132"/>
      <c r="BA745" s="132"/>
      <c r="BB745" s="132"/>
      <c r="BC745" s="132"/>
      <c r="BD745" s="132"/>
      <c r="BE745" s="132"/>
      <c r="BF745" s="132"/>
      <c r="BG745" s="132"/>
      <c r="BH745" s="132"/>
      <c r="BI745" s="132"/>
      <c r="BJ745" s="132"/>
      <c r="BK745" s="132"/>
      <c r="BL745" s="132"/>
      <c r="BM745" s="132"/>
      <c r="BN745" s="132"/>
      <c r="BO745" s="132"/>
      <c r="BP745" s="132"/>
      <c r="BQ745" s="132"/>
      <c r="BR745" s="132"/>
      <c r="BS745" s="132"/>
      <c r="BT745" s="132"/>
      <c r="BU745" s="132"/>
      <c r="BV745" s="132"/>
      <c r="BW745" s="132"/>
      <c r="BX745" s="132"/>
      <c r="BY745" s="132"/>
      <c r="BZ745" s="132"/>
      <c r="CA745" s="132"/>
      <c r="CB745" s="132"/>
      <c r="CC745" s="132"/>
      <c r="CD745" s="132"/>
      <c r="CE745" s="132"/>
      <c r="CF745" s="132"/>
      <c r="CG745" s="132"/>
      <c r="CH745" s="132"/>
      <c r="CI745" s="132"/>
      <c r="CJ745" s="132"/>
      <c r="CK745" s="132"/>
      <c r="CL745" s="132"/>
      <c r="CM745" s="132"/>
      <c r="CN745" s="132"/>
      <c r="CO745" s="132"/>
      <c r="CP745" s="132"/>
      <c r="CQ745" s="132"/>
      <c r="CR745" s="132"/>
      <c r="CS745" s="132"/>
      <c r="CT745" s="132"/>
      <c r="CU745" s="132"/>
      <c r="CV745" s="132"/>
      <c r="CW745" s="132"/>
      <c r="CX745" s="132"/>
      <c r="CY745" s="132"/>
      <c r="CZ745" s="132"/>
      <c r="DA745" s="132"/>
      <c r="DB745" s="132"/>
      <c r="DC745" s="132"/>
      <c r="DD745" s="132"/>
      <c r="DE745" s="132"/>
      <c r="DF745" s="132"/>
      <c r="DG745" s="132"/>
      <c r="DH745" s="132"/>
      <c r="DI745" s="132"/>
      <c r="DJ745" s="132"/>
      <c r="DK745" s="132"/>
      <c r="DL745" s="132"/>
      <c r="DM745" s="132"/>
      <c r="DN745" s="132"/>
      <c r="DO745" s="132"/>
      <c r="DP745" s="132"/>
      <c r="DQ745" s="132"/>
      <c r="DR745" s="132"/>
      <c r="DS745" s="132"/>
      <c r="DT745" s="132"/>
      <c r="DU745" s="132"/>
      <c r="DV745" s="132"/>
      <c r="DW745" s="132"/>
      <c r="DX745" s="132"/>
      <c r="DY745" s="132"/>
      <c r="DZ745" s="132"/>
      <c r="EA745" s="132"/>
      <c r="EB745" s="132"/>
      <c r="EC745" s="132"/>
      <c r="ED745" s="132"/>
      <c r="EE745" s="132"/>
      <c r="EF745" s="132"/>
      <c r="EG745" s="132"/>
      <c r="EH745" s="132"/>
      <c r="EI745" s="132"/>
      <c r="EJ745" s="132"/>
      <c r="EK745" s="132"/>
      <c r="EL745" s="132"/>
      <c r="EM745" s="132"/>
      <c r="EN745" s="132"/>
      <c r="EO745" s="132"/>
      <c r="EP745" s="132"/>
      <c r="EQ745" s="132"/>
      <c r="ER745" s="132"/>
      <c r="ES745" s="132"/>
      <c r="ET745" s="132"/>
      <c r="EU745" s="132"/>
      <c r="EV745" s="132"/>
      <c r="EW745" s="132"/>
      <c r="EX745" s="132"/>
      <c r="EY745" s="132"/>
      <c r="EZ745" s="132"/>
      <c r="FA745" s="132"/>
      <c r="FB745" s="132"/>
      <c r="FC745" s="132"/>
      <c r="FD745" s="132"/>
      <c r="FE745" s="132"/>
      <c r="FF745" s="132"/>
      <c r="FG745" s="132"/>
      <c r="FH745" s="132"/>
      <c r="FI745" s="132"/>
      <c r="FJ745" s="132"/>
      <c r="FK745" s="132"/>
      <c r="FL745" s="132"/>
      <c r="FM745" s="132"/>
      <c r="FN745" s="132"/>
      <c r="FO745" s="132"/>
      <c r="FP745" s="132"/>
      <c r="FQ745" s="132"/>
      <c r="FR745" s="132"/>
      <c r="FS745" s="132"/>
      <c r="FT745" s="132"/>
      <c r="FU745" s="132"/>
      <c r="FV745" s="132"/>
      <c r="FW745" s="132"/>
      <c r="FX745" s="132"/>
      <c r="FY745" s="132"/>
      <c r="FZ745" s="132"/>
      <c r="GA745" s="132"/>
      <c r="GB745" s="132"/>
      <c r="GC745" s="132"/>
      <c r="GD745" s="132"/>
      <c r="GE745" s="132"/>
      <c r="GF745" s="132"/>
      <c r="GG745" s="132"/>
      <c r="GH745" s="132"/>
      <c r="GI745" s="132"/>
      <c r="GJ745" s="132"/>
      <c r="GK745" s="132"/>
      <c r="GL745" s="132"/>
      <c r="GM745" s="132"/>
      <c r="GN745" s="132"/>
      <c r="GO745" s="132"/>
      <c r="GP745" s="132"/>
      <c r="GQ745" s="132"/>
      <c r="GR745" s="132"/>
      <c r="GS745" s="132"/>
      <c r="GT745" s="132"/>
      <c r="GU745" s="132"/>
      <c r="GV745" s="132"/>
      <c r="GW745" s="132"/>
      <c r="GX745" s="132"/>
      <c r="GY745" s="132"/>
      <c r="GZ745" s="132"/>
      <c r="HA745" s="132"/>
      <c r="HB745" s="132"/>
      <c r="HC745" s="132"/>
      <c r="HD745" s="132"/>
      <c r="HE745" s="132"/>
      <c r="HF745" s="132"/>
      <c r="HG745" s="132"/>
      <c r="HH745" s="132"/>
      <c r="HI745" s="132"/>
      <c r="HJ745" s="132"/>
      <c r="HK745" s="132"/>
      <c r="HL745" s="132"/>
      <c r="HM745" s="132"/>
      <c r="HN745" s="132"/>
      <c r="HO745" s="132"/>
      <c r="HP745" s="132"/>
      <c r="HQ745" s="132"/>
      <c r="HR745" s="132"/>
      <c r="HS745" s="132"/>
      <c r="HT745" s="132"/>
      <c r="HU745" s="132"/>
      <c r="HV745" s="132"/>
      <c r="HW745" s="132"/>
      <c r="HX745" s="132"/>
      <c r="HY745" s="132"/>
      <c r="HZ745" s="132"/>
      <c r="IA745" s="132"/>
      <c r="IB745" s="132"/>
      <c r="IC745" s="132"/>
      <c r="ID745" s="132"/>
      <c r="IE745" s="132"/>
      <c r="IF745" s="132"/>
      <c r="IG745" s="132"/>
      <c r="IH745" s="132"/>
      <c r="II745" s="132"/>
      <c r="IJ745" s="132"/>
      <c r="IK745" s="132"/>
      <c r="IL745" s="132"/>
      <c r="IM745" s="132"/>
      <c r="IN745" s="132"/>
      <c r="IO745" s="132"/>
      <c r="IP745" s="132"/>
      <c r="IQ745" s="132"/>
      <c r="IR745" s="132"/>
      <c r="IS745" s="132"/>
      <c r="IT745" s="132"/>
    </row>
    <row r="746" spans="1:254">
      <c r="A746" s="781"/>
      <c r="B746" s="161"/>
      <c r="C746" s="782"/>
      <c r="D746" s="783"/>
      <c r="E746" s="844"/>
      <c r="F746" s="911"/>
      <c r="G746" s="159"/>
      <c r="H746" s="132"/>
      <c r="I746" s="132"/>
      <c r="J746" s="132"/>
      <c r="K746" s="132"/>
      <c r="L746" s="132"/>
      <c r="M746" s="132"/>
      <c r="N746" s="132"/>
      <c r="O746" s="132"/>
      <c r="P746" s="132"/>
      <c r="Q746" s="132"/>
      <c r="R746" s="132"/>
      <c r="S746" s="132"/>
      <c r="T746" s="132"/>
      <c r="U746" s="132"/>
      <c r="V746" s="132"/>
      <c r="W746" s="132"/>
      <c r="X746" s="132"/>
      <c r="Y746" s="132"/>
      <c r="Z746" s="132"/>
      <c r="AA746" s="132"/>
      <c r="AB746" s="132"/>
      <c r="AC746" s="132"/>
      <c r="AD746" s="132"/>
      <c r="AE746" s="132"/>
      <c r="AF746" s="132"/>
      <c r="AG746" s="132"/>
      <c r="AH746" s="132"/>
      <c r="AI746" s="132"/>
      <c r="AJ746" s="132"/>
      <c r="AK746" s="132"/>
      <c r="AL746" s="132"/>
      <c r="AM746" s="132"/>
      <c r="AN746" s="132"/>
      <c r="AO746" s="132"/>
      <c r="AP746" s="132"/>
      <c r="AQ746" s="132"/>
      <c r="AR746" s="132"/>
      <c r="AS746" s="132"/>
      <c r="AT746" s="132"/>
      <c r="AU746" s="132"/>
      <c r="AV746" s="132"/>
      <c r="AW746" s="132"/>
      <c r="AX746" s="132"/>
      <c r="AY746" s="132"/>
      <c r="AZ746" s="132"/>
      <c r="BA746" s="132"/>
      <c r="BB746" s="132"/>
      <c r="BC746" s="132"/>
      <c r="BD746" s="132"/>
      <c r="BE746" s="132"/>
      <c r="BF746" s="132"/>
      <c r="BG746" s="132"/>
      <c r="BH746" s="132"/>
      <c r="BI746" s="132"/>
      <c r="BJ746" s="132"/>
      <c r="BK746" s="132"/>
      <c r="BL746" s="132"/>
      <c r="BM746" s="132"/>
      <c r="BN746" s="132"/>
      <c r="BO746" s="132"/>
      <c r="BP746" s="132"/>
      <c r="BQ746" s="132"/>
      <c r="BR746" s="132"/>
      <c r="BS746" s="132"/>
      <c r="BT746" s="132"/>
      <c r="BU746" s="132"/>
      <c r="BV746" s="132"/>
      <c r="BW746" s="132"/>
      <c r="BX746" s="132"/>
      <c r="BY746" s="132"/>
      <c r="BZ746" s="132"/>
      <c r="CA746" s="132"/>
      <c r="CB746" s="132"/>
      <c r="CC746" s="132"/>
      <c r="CD746" s="132"/>
      <c r="CE746" s="132"/>
      <c r="CF746" s="132"/>
      <c r="CG746" s="132"/>
      <c r="CH746" s="132"/>
      <c r="CI746" s="132"/>
      <c r="CJ746" s="132"/>
      <c r="CK746" s="132"/>
      <c r="CL746" s="132"/>
      <c r="CM746" s="132"/>
      <c r="CN746" s="132"/>
      <c r="CO746" s="132"/>
      <c r="CP746" s="132"/>
      <c r="CQ746" s="132"/>
      <c r="CR746" s="132"/>
      <c r="CS746" s="132"/>
      <c r="CT746" s="132"/>
      <c r="CU746" s="132"/>
      <c r="CV746" s="132"/>
      <c r="CW746" s="132"/>
      <c r="CX746" s="132"/>
      <c r="CY746" s="132"/>
      <c r="CZ746" s="132"/>
      <c r="DA746" s="132"/>
      <c r="DB746" s="132"/>
      <c r="DC746" s="132"/>
      <c r="DD746" s="132"/>
      <c r="DE746" s="132"/>
      <c r="DF746" s="132"/>
      <c r="DG746" s="132"/>
      <c r="DH746" s="132"/>
      <c r="DI746" s="132"/>
      <c r="DJ746" s="132"/>
      <c r="DK746" s="132"/>
      <c r="DL746" s="132"/>
      <c r="DM746" s="132"/>
      <c r="DN746" s="132"/>
      <c r="DO746" s="132"/>
      <c r="DP746" s="132"/>
      <c r="DQ746" s="132"/>
      <c r="DR746" s="132"/>
      <c r="DS746" s="132"/>
      <c r="DT746" s="132"/>
      <c r="DU746" s="132"/>
      <c r="DV746" s="132"/>
      <c r="DW746" s="132"/>
      <c r="DX746" s="132"/>
      <c r="DY746" s="132"/>
      <c r="DZ746" s="132"/>
      <c r="EA746" s="132"/>
      <c r="EB746" s="132"/>
      <c r="EC746" s="132"/>
      <c r="ED746" s="132"/>
      <c r="EE746" s="132"/>
      <c r="EF746" s="132"/>
      <c r="EG746" s="132"/>
      <c r="EH746" s="132"/>
      <c r="EI746" s="132"/>
      <c r="EJ746" s="132"/>
      <c r="EK746" s="132"/>
      <c r="EL746" s="132"/>
      <c r="EM746" s="132"/>
      <c r="EN746" s="132"/>
      <c r="EO746" s="132"/>
      <c r="EP746" s="132"/>
      <c r="EQ746" s="132"/>
      <c r="ER746" s="132"/>
      <c r="ES746" s="132"/>
      <c r="ET746" s="132"/>
      <c r="EU746" s="132"/>
      <c r="EV746" s="132"/>
      <c r="EW746" s="132"/>
      <c r="EX746" s="132"/>
      <c r="EY746" s="132"/>
      <c r="EZ746" s="132"/>
      <c r="FA746" s="132"/>
      <c r="FB746" s="132"/>
      <c r="FC746" s="132"/>
      <c r="FD746" s="132"/>
      <c r="FE746" s="132"/>
      <c r="FF746" s="132"/>
      <c r="FG746" s="132"/>
      <c r="FH746" s="132"/>
      <c r="FI746" s="132"/>
      <c r="FJ746" s="132"/>
      <c r="FK746" s="132"/>
      <c r="FL746" s="132"/>
      <c r="FM746" s="132"/>
      <c r="FN746" s="132"/>
      <c r="FO746" s="132"/>
      <c r="FP746" s="132"/>
      <c r="FQ746" s="132"/>
      <c r="FR746" s="132"/>
      <c r="FS746" s="132"/>
      <c r="FT746" s="132"/>
      <c r="FU746" s="132"/>
      <c r="FV746" s="132"/>
      <c r="FW746" s="132"/>
      <c r="FX746" s="132"/>
      <c r="FY746" s="132"/>
      <c r="FZ746" s="132"/>
      <c r="GA746" s="132"/>
      <c r="GB746" s="132"/>
      <c r="GC746" s="132"/>
      <c r="GD746" s="132"/>
      <c r="GE746" s="132"/>
      <c r="GF746" s="132"/>
      <c r="GG746" s="132"/>
      <c r="GH746" s="132"/>
      <c r="GI746" s="132"/>
      <c r="GJ746" s="132"/>
      <c r="GK746" s="132"/>
      <c r="GL746" s="132"/>
      <c r="GM746" s="132"/>
      <c r="GN746" s="132"/>
      <c r="GO746" s="132"/>
      <c r="GP746" s="132"/>
      <c r="GQ746" s="132"/>
      <c r="GR746" s="132"/>
      <c r="GS746" s="132"/>
      <c r="GT746" s="132"/>
      <c r="GU746" s="132"/>
      <c r="GV746" s="132"/>
      <c r="GW746" s="132"/>
      <c r="GX746" s="132"/>
      <c r="GY746" s="132"/>
      <c r="GZ746" s="132"/>
      <c r="HA746" s="132"/>
      <c r="HB746" s="132"/>
      <c r="HC746" s="132"/>
      <c r="HD746" s="132"/>
      <c r="HE746" s="132"/>
      <c r="HF746" s="132"/>
      <c r="HG746" s="132"/>
      <c r="HH746" s="132"/>
      <c r="HI746" s="132"/>
      <c r="HJ746" s="132"/>
      <c r="HK746" s="132"/>
      <c r="HL746" s="132"/>
      <c r="HM746" s="132"/>
      <c r="HN746" s="132"/>
      <c r="HO746" s="132"/>
      <c r="HP746" s="132"/>
      <c r="HQ746" s="132"/>
      <c r="HR746" s="132"/>
      <c r="HS746" s="132"/>
      <c r="HT746" s="132"/>
      <c r="HU746" s="132"/>
      <c r="HV746" s="132"/>
      <c r="HW746" s="132"/>
      <c r="HX746" s="132"/>
      <c r="HY746" s="132"/>
      <c r="HZ746" s="132"/>
      <c r="IA746" s="132"/>
      <c r="IB746" s="132"/>
      <c r="IC746" s="132"/>
      <c r="ID746" s="132"/>
      <c r="IE746" s="132"/>
      <c r="IF746" s="132"/>
      <c r="IG746" s="132"/>
      <c r="IH746" s="132"/>
      <c r="II746" s="132"/>
      <c r="IJ746" s="132"/>
      <c r="IK746" s="132"/>
      <c r="IL746" s="132"/>
      <c r="IM746" s="132"/>
      <c r="IN746" s="132"/>
      <c r="IO746" s="132"/>
      <c r="IP746" s="132"/>
      <c r="IQ746" s="132"/>
      <c r="IR746" s="132"/>
      <c r="IS746" s="132"/>
      <c r="IT746" s="132"/>
    </row>
    <row r="747" spans="1:254" ht="63.75">
      <c r="A747" s="342"/>
      <c r="B747" s="146" t="s">
        <v>360</v>
      </c>
      <c r="C747" s="340"/>
      <c r="D747" s="329"/>
      <c r="F747" s="911"/>
      <c r="G747" s="159"/>
      <c r="H747" s="132"/>
      <c r="I747" s="132"/>
      <c r="J747" s="132"/>
      <c r="K747" s="132"/>
      <c r="L747" s="132"/>
      <c r="M747" s="132"/>
      <c r="N747" s="132"/>
      <c r="O747" s="132"/>
      <c r="P747" s="132"/>
      <c r="Q747" s="132"/>
      <c r="R747" s="132"/>
      <c r="S747" s="132"/>
      <c r="T747" s="132"/>
      <c r="U747" s="132"/>
      <c r="V747" s="132"/>
      <c r="W747" s="132"/>
      <c r="X747" s="132"/>
      <c r="Y747" s="132"/>
      <c r="Z747" s="132"/>
      <c r="AA747" s="132"/>
      <c r="AB747" s="132"/>
      <c r="AC747" s="132"/>
      <c r="AD747" s="132"/>
      <c r="AE747" s="132"/>
      <c r="AF747" s="132"/>
      <c r="AG747" s="132"/>
      <c r="AH747" s="132"/>
      <c r="AI747" s="132"/>
      <c r="AJ747" s="132"/>
      <c r="AK747" s="132"/>
      <c r="AL747" s="132"/>
      <c r="AM747" s="132"/>
      <c r="AN747" s="132"/>
      <c r="AO747" s="132"/>
      <c r="AP747" s="132"/>
      <c r="AQ747" s="132"/>
      <c r="AR747" s="132"/>
      <c r="AS747" s="132"/>
      <c r="AT747" s="132"/>
      <c r="AU747" s="132"/>
      <c r="AV747" s="132"/>
      <c r="AW747" s="132"/>
      <c r="AX747" s="132"/>
      <c r="AY747" s="132"/>
      <c r="AZ747" s="132"/>
      <c r="BA747" s="132"/>
      <c r="BB747" s="132"/>
      <c r="BC747" s="132"/>
      <c r="BD747" s="132"/>
      <c r="BE747" s="132"/>
      <c r="BF747" s="132"/>
      <c r="BG747" s="132"/>
      <c r="BH747" s="132"/>
      <c r="BI747" s="132"/>
      <c r="BJ747" s="132"/>
      <c r="BK747" s="132"/>
      <c r="BL747" s="132"/>
      <c r="BM747" s="132"/>
      <c r="BN747" s="132"/>
      <c r="BO747" s="132"/>
      <c r="BP747" s="132"/>
      <c r="BQ747" s="132"/>
      <c r="BR747" s="132"/>
      <c r="BS747" s="132"/>
      <c r="BT747" s="132"/>
      <c r="BU747" s="132"/>
      <c r="BV747" s="132"/>
      <c r="BW747" s="132"/>
      <c r="BX747" s="132"/>
      <c r="BY747" s="132"/>
      <c r="BZ747" s="132"/>
      <c r="CA747" s="132"/>
      <c r="CB747" s="132"/>
      <c r="CC747" s="132"/>
      <c r="CD747" s="132"/>
      <c r="CE747" s="132"/>
      <c r="CF747" s="132"/>
      <c r="CG747" s="132"/>
      <c r="CH747" s="132"/>
      <c r="CI747" s="132"/>
      <c r="CJ747" s="132"/>
      <c r="CK747" s="132"/>
      <c r="CL747" s="132"/>
      <c r="CM747" s="132"/>
      <c r="CN747" s="132"/>
      <c r="CO747" s="132"/>
      <c r="CP747" s="132"/>
      <c r="CQ747" s="132"/>
      <c r="CR747" s="132"/>
      <c r="CS747" s="132"/>
      <c r="CT747" s="132"/>
      <c r="CU747" s="132"/>
      <c r="CV747" s="132"/>
      <c r="CW747" s="132"/>
      <c r="CX747" s="132"/>
      <c r="CY747" s="132"/>
      <c r="CZ747" s="132"/>
      <c r="DA747" s="132"/>
      <c r="DB747" s="132"/>
      <c r="DC747" s="132"/>
      <c r="DD747" s="132"/>
      <c r="DE747" s="132"/>
      <c r="DF747" s="132"/>
      <c r="DG747" s="132"/>
      <c r="DH747" s="132"/>
      <c r="DI747" s="132"/>
      <c r="DJ747" s="132"/>
      <c r="DK747" s="132"/>
      <c r="DL747" s="132"/>
      <c r="DM747" s="132"/>
      <c r="DN747" s="132"/>
      <c r="DO747" s="132"/>
      <c r="DP747" s="132"/>
      <c r="DQ747" s="132"/>
      <c r="DR747" s="132"/>
      <c r="DS747" s="132"/>
      <c r="DT747" s="132"/>
      <c r="DU747" s="132"/>
      <c r="DV747" s="132"/>
      <c r="DW747" s="132"/>
      <c r="DX747" s="132"/>
      <c r="DY747" s="132"/>
      <c r="DZ747" s="132"/>
      <c r="EA747" s="132"/>
      <c r="EB747" s="132"/>
      <c r="EC747" s="132"/>
      <c r="ED747" s="132"/>
      <c r="EE747" s="132"/>
      <c r="EF747" s="132"/>
      <c r="EG747" s="132"/>
      <c r="EH747" s="132"/>
      <c r="EI747" s="132"/>
      <c r="EJ747" s="132"/>
      <c r="EK747" s="132"/>
      <c r="EL747" s="132"/>
      <c r="EM747" s="132"/>
      <c r="EN747" s="132"/>
      <c r="EO747" s="132"/>
      <c r="EP747" s="132"/>
      <c r="EQ747" s="132"/>
      <c r="ER747" s="132"/>
      <c r="ES747" s="132"/>
      <c r="ET747" s="132"/>
      <c r="EU747" s="132"/>
      <c r="EV747" s="132"/>
      <c r="EW747" s="132"/>
      <c r="EX747" s="132"/>
      <c r="EY747" s="132"/>
      <c r="EZ747" s="132"/>
      <c r="FA747" s="132"/>
      <c r="FB747" s="132"/>
      <c r="FC747" s="132"/>
      <c r="FD747" s="132"/>
      <c r="FE747" s="132"/>
      <c r="FF747" s="132"/>
      <c r="FG747" s="132"/>
      <c r="FH747" s="132"/>
      <c r="FI747" s="132"/>
      <c r="FJ747" s="132"/>
      <c r="FK747" s="132"/>
      <c r="FL747" s="132"/>
      <c r="FM747" s="132"/>
      <c r="FN747" s="132"/>
      <c r="FO747" s="132"/>
      <c r="FP747" s="132"/>
      <c r="FQ747" s="132"/>
      <c r="FR747" s="132"/>
      <c r="FS747" s="132"/>
      <c r="FT747" s="132"/>
      <c r="FU747" s="132"/>
      <c r="FV747" s="132"/>
      <c r="FW747" s="132"/>
      <c r="FX747" s="132"/>
      <c r="FY747" s="132"/>
      <c r="FZ747" s="132"/>
      <c r="GA747" s="132"/>
      <c r="GB747" s="132"/>
      <c r="GC747" s="132"/>
      <c r="GD747" s="132"/>
      <c r="GE747" s="132"/>
      <c r="GF747" s="132"/>
      <c r="GG747" s="132"/>
      <c r="GH747" s="132"/>
      <c r="GI747" s="132"/>
      <c r="GJ747" s="132"/>
      <c r="GK747" s="132"/>
      <c r="GL747" s="132"/>
      <c r="GM747" s="132"/>
      <c r="GN747" s="132"/>
      <c r="GO747" s="132"/>
      <c r="GP747" s="132"/>
      <c r="GQ747" s="132"/>
      <c r="GR747" s="132"/>
      <c r="GS747" s="132"/>
      <c r="GT747" s="132"/>
      <c r="GU747" s="132"/>
      <c r="GV747" s="132"/>
      <c r="GW747" s="132"/>
      <c r="GX747" s="132"/>
      <c r="GY747" s="132"/>
      <c r="GZ747" s="132"/>
      <c r="HA747" s="132"/>
      <c r="HB747" s="132"/>
      <c r="HC747" s="132"/>
      <c r="HD747" s="132"/>
      <c r="HE747" s="132"/>
      <c r="HF747" s="132"/>
      <c r="HG747" s="132"/>
      <c r="HH747" s="132"/>
      <c r="HI747" s="132"/>
      <c r="HJ747" s="132"/>
      <c r="HK747" s="132"/>
      <c r="HL747" s="132"/>
      <c r="HM747" s="132"/>
      <c r="HN747" s="132"/>
      <c r="HO747" s="132"/>
      <c r="HP747" s="132"/>
      <c r="HQ747" s="132"/>
      <c r="HR747" s="132"/>
      <c r="HS747" s="132"/>
      <c r="HT747" s="132"/>
      <c r="HU747" s="132"/>
      <c r="HV747" s="132"/>
      <c r="HW747" s="132"/>
      <c r="HX747" s="132"/>
      <c r="HY747" s="132"/>
      <c r="HZ747" s="132"/>
      <c r="IA747" s="132"/>
      <c r="IB747" s="132"/>
      <c r="IC747" s="132"/>
      <c r="ID747" s="132"/>
      <c r="IE747" s="132"/>
      <c r="IF747" s="132"/>
      <c r="IG747" s="132"/>
      <c r="IH747" s="132"/>
      <c r="II747" s="132"/>
      <c r="IJ747" s="132"/>
      <c r="IK747" s="132"/>
      <c r="IL747" s="132"/>
      <c r="IM747" s="132"/>
      <c r="IN747" s="132"/>
      <c r="IO747" s="132"/>
      <c r="IP747" s="132"/>
      <c r="IQ747" s="132"/>
      <c r="IR747" s="132"/>
      <c r="IS747" s="132"/>
      <c r="IT747" s="132"/>
    </row>
    <row r="748" spans="1:254">
      <c r="A748" s="734" t="s">
        <v>359</v>
      </c>
      <c r="B748" s="146" t="s">
        <v>358</v>
      </c>
      <c r="C748" s="328">
        <f>0.54*3</f>
        <v>1.62</v>
      </c>
      <c r="D748" s="329" t="s">
        <v>100</v>
      </c>
      <c r="E748" s="838"/>
      <c r="F748" s="911">
        <f t="shared" si="21"/>
        <v>0</v>
      </c>
      <c r="G748" s="159"/>
      <c r="H748" s="132"/>
      <c r="I748" s="132"/>
      <c r="J748" s="132"/>
      <c r="K748" s="132"/>
      <c r="L748" s="132"/>
      <c r="M748" s="132"/>
      <c r="N748" s="132"/>
      <c r="O748" s="132"/>
      <c r="P748" s="132"/>
      <c r="Q748" s="132"/>
      <c r="R748" s="132"/>
      <c r="S748" s="132"/>
      <c r="T748" s="132"/>
      <c r="U748" s="132"/>
      <c r="V748" s="132"/>
      <c r="W748" s="132"/>
      <c r="X748" s="132"/>
      <c r="Y748" s="132"/>
      <c r="Z748" s="132"/>
      <c r="AA748" s="132"/>
      <c r="AB748" s="132"/>
      <c r="AC748" s="132"/>
      <c r="AD748" s="132"/>
      <c r="AE748" s="132"/>
      <c r="AF748" s="132"/>
      <c r="AG748" s="132"/>
      <c r="AH748" s="132"/>
      <c r="AI748" s="132"/>
      <c r="AJ748" s="132"/>
      <c r="AK748" s="132"/>
      <c r="AL748" s="132"/>
      <c r="AM748" s="132"/>
      <c r="AN748" s="132"/>
      <c r="AO748" s="132"/>
      <c r="AP748" s="132"/>
      <c r="AQ748" s="132"/>
      <c r="AR748" s="132"/>
      <c r="AS748" s="132"/>
      <c r="AT748" s="132"/>
      <c r="AU748" s="132"/>
      <c r="AV748" s="132"/>
      <c r="AW748" s="132"/>
      <c r="AX748" s="132"/>
      <c r="AY748" s="132"/>
      <c r="AZ748" s="132"/>
      <c r="BA748" s="132"/>
      <c r="BB748" s="132"/>
      <c r="BC748" s="132"/>
      <c r="BD748" s="132"/>
      <c r="BE748" s="132"/>
      <c r="BF748" s="132"/>
      <c r="BG748" s="132"/>
      <c r="BH748" s="132"/>
      <c r="BI748" s="132"/>
      <c r="BJ748" s="132"/>
      <c r="BK748" s="132"/>
      <c r="BL748" s="132"/>
      <c r="BM748" s="132"/>
      <c r="BN748" s="132"/>
      <c r="BO748" s="132"/>
      <c r="BP748" s="132"/>
      <c r="BQ748" s="132"/>
      <c r="BR748" s="132"/>
      <c r="BS748" s="132"/>
      <c r="BT748" s="132"/>
      <c r="BU748" s="132"/>
      <c r="BV748" s="132"/>
      <c r="BW748" s="132"/>
      <c r="BX748" s="132"/>
      <c r="BY748" s="132"/>
      <c r="BZ748" s="132"/>
      <c r="CA748" s="132"/>
      <c r="CB748" s="132"/>
      <c r="CC748" s="132"/>
      <c r="CD748" s="132"/>
      <c r="CE748" s="132"/>
      <c r="CF748" s="132"/>
      <c r="CG748" s="132"/>
      <c r="CH748" s="132"/>
      <c r="CI748" s="132"/>
      <c r="CJ748" s="132"/>
      <c r="CK748" s="132"/>
      <c r="CL748" s="132"/>
      <c r="CM748" s="132"/>
      <c r="CN748" s="132"/>
      <c r="CO748" s="132"/>
      <c r="CP748" s="132"/>
      <c r="CQ748" s="132"/>
      <c r="CR748" s="132"/>
      <c r="CS748" s="132"/>
      <c r="CT748" s="132"/>
      <c r="CU748" s="132"/>
      <c r="CV748" s="132"/>
      <c r="CW748" s="132"/>
      <c r="CX748" s="132"/>
      <c r="CY748" s="132"/>
      <c r="CZ748" s="132"/>
      <c r="DA748" s="132"/>
      <c r="DB748" s="132"/>
      <c r="DC748" s="132"/>
      <c r="DD748" s="132"/>
      <c r="DE748" s="132"/>
      <c r="DF748" s="132"/>
      <c r="DG748" s="132"/>
      <c r="DH748" s="132"/>
      <c r="DI748" s="132"/>
      <c r="DJ748" s="132"/>
      <c r="DK748" s="132"/>
      <c r="DL748" s="132"/>
      <c r="DM748" s="132"/>
      <c r="DN748" s="132"/>
      <c r="DO748" s="132"/>
      <c r="DP748" s="132"/>
      <c r="DQ748" s="132"/>
      <c r="DR748" s="132"/>
      <c r="DS748" s="132"/>
      <c r="DT748" s="132"/>
      <c r="DU748" s="132"/>
      <c r="DV748" s="132"/>
      <c r="DW748" s="132"/>
      <c r="DX748" s="132"/>
      <c r="DY748" s="132"/>
      <c r="DZ748" s="132"/>
      <c r="EA748" s="132"/>
      <c r="EB748" s="132"/>
      <c r="EC748" s="132"/>
      <c r="ED748" s="132"/>
      <c r="EE748" s="132"/>
      <c r="EF748" s="132"/>
      <c r="EG748" s="132"/>
      <c r="EH748" s="132"/>
      <c r="EI748" s="132"/>
      <c r="EJ748" s="132"/>
      <c r="EK748" s="132"/>
      <c r="EL748" s="132"/>
      <c r="EM748" s="132"/>
      <c r="EN748" s="132"/>
      <c r="EO748" s="132"/>
      <c r="EP748" s="132"/>
      <c r="EQ748" s="132"/>
      <c r="ER748" s="132"/>
      <c r="ES748" s="132"/>
      <c r="ET748" s="132"/>
      <c r="EU748" s="132"/>
      <c r="EV748" s="132"/>
      <c r="EW748" s="132"/>
      <c r="EX748" s="132"/>
      <c r="EY748" s="132"/>
      <c r="EZ748" s="132"/>
      <c r="FA748" s="132"/>
      <c r="FB748" s="132"/>
      <c r="FC748" s="132"/>
      <c r="FD748" s="132"/>
      <c r="FE748" s="132"/>
      <c r="FF748" s="132"/>
      <c r="FG748" s="132"/>
      <c r="FH748" s="132"/>
      <c r="FI748" s="132"/>
      <c r="FJ748" s="132"/>
      <c r="FK748" s="132"/>
      <c r="FL748" s="132"/>
      <c r="FM748" s="132"/>
      <c r="FN748" s="132"/>
      <c r="FO748" s="132"/>
      <c r="FP748" s="132"/>
      <c r="FQ748" s="132"/>
      <c r="FR748" s="132"/>
      <c r="FS748" s="132"/>
      <c r="FT748" s="132"/>
      <c r="FU748" s="132"/>
      <c r="FV748" s="132"/>
      <c r="FW748" s="132"/>
      <c r="FX748" s="132"/>
      <c r="FY748" s="132"/>
      <c r="FZ748" s="132"/>
      <c r="GA748" s="132"/>
      <c r="GB748" s="132"/>
      <c r="GC748" s="132"/>
      <c r="GD748" s="132"/>
      <c r="GE748" s="132"/>
      <c r="GF748" s="132"/>
      <c r="GG748" s="132"/>
      <c r="GH748" s="132"/>
      <c r="GI748" s="132"/>
      <c r="GJ748" s="132"/>
      <c r="GK748" s="132"/>
      <c r="GL748" s="132"/>
      <c r="GM748" s="132"/>
      <c r="GN748" s="132"/>
      <c r="GO748" s="132"/>
      <c r="GP748" s="132"/>
      <c r="GQ748" s="132"/>
      <c r="GR748" s="132"/>
      <c r="GS748" s="132"/>
      <c r="GT748" s="132"/>
      <c r="GU748" s="132"/>
      <c r="GV748" s="132"/>
      <c r="GW748" s="132"/>
      <c r="GX748" s="132"/>
      <c r="GY748" s="132"/>
      <c r="GZ748" s="132"/>
      <c r="HA748" s="132"/>
      <c r="HB748" s="132"/>
      <c r="HC748" s="132"/>
      <c r="HD748" s="132"/>
      <c r="HE748" s="132"/>
      <c r="HF748" s="132"/>
      <c r="HG748" s="132"/>
      <c r="HH748" s="132"/>
      <c r="HI748" s="132"/>
      <c r="HJ748" s="132"/>
      <c r="HK748" s="132"/>
      <c r="HL748" s="132"/>
      <c r="HM748" s="132"/>
      <c r="HN748" s="132"/>
      <c r="HO748" s="132"/>
      <c r="HP748" s="132"/>
      <c r="HQ748" s="132"/>
      <c r="HR748" s="132"/>
      <c r="HS748" s="132"/>
      <c r="HT748" s="132"/>
      <c r="HU748" s="132"/>
      <c r="HV748" s="132"/>
      <c r="HW748" s="132"/>
      <c r="HX748" s="132"/>
      <c r="HY748" s="132"/>
      <c r="HZ748" s="132"/>
      <c r="IA748" s="132"/>
      <c r="IB748" s="132"/>
      <c r="IC748" s="132"/>
      <c r="ID748" s="132"/>
      <c r="IE748" s="132"/>
      <c r="IF748" s="132"/>
      <c r="IG748" s="132"/>
      <c r="IH748" s="132"/>
      <c r="II748" s="132"/>
      <c r="IJ748" s="132"/>
      <c r="IK748" s="132"/>
      <c r="IL748" s="132"/>
      <c r="IM748" s="132"/>
      <c r="IN748" s="132"/>
      <c r="IO748" s="132"/>
      <c r="IP748" s="132"/>
      <c r="IQ748" s="132"/>
      <c r="IR748" s="132"/>
      <c r="IS748" s="132"/>
      <c r="IT748" s="132"/>
    </row>
    <row r="749" spans="1:254">
      <c r="A749" s="734" t="s">
        <v>357</v>
      </c>
      <c r="B749" s="146" t="s">
        <v>356</v>
      </c>
      <c r="C749" s="328">
        <f>2.1*3</f>
        <v>6.3000000000000007</v>
      </c>
      <c r="D749" s="329" t="s">
        <v>100</v>
      </c>
      <c r="E749" s="838"/>
      <c r="F749" s="911">
        <f t="shared" si="21"/>
        <v>0</v>
      </c>
      <c r="G749" s="159"/>
      <c r="H749" s="132"/>
      <c r="I749" s="132"/>
      <c r="J749" s="132"/>
      <c r="K749" s="132"/>
      <c r="L749" s="132"/>
      <c r="M749" s="132"/>
      <c r="N749" s="132"/>
      <c r="O749" s="132"/>
      <c r="P749" s="132"/>
      <c r="Q749" s="132"/>
      <c r="R749" s="132"/>
      <c r="S749" s="132"/>
      <c r="T749" s="132"/>
      <c r="U749" s="132"/>
      <c r="V749" s="132"/>
      <c r="W749" s="132"/>
      <c r="X749" s="132"/>
      <c r="Y749" s="132"/>
      <c r="Z749" s="132"/>
      <c r="AA749" s="132"/>
      <c r="AB749" s="132"/>
      <c r="AC749" s="132"/>
      <c r="AD749" s="132"/>
      <c r="AE749" s="132"/>
      <c r="AF749" s="132"/>
      <c r="AG749" s="132"/>
      <c r="AH749" s="132"/>
      <c r="AI749" s="132"/>
      <c r="AJ749" s="132"/>
      <c r="AK749" s="132"/>
      <c r="AL749" s="132"/>
      <c r="AM749" s="132"/>
      <c r="AN749" s="132"/>
      <c r="AO749" s="132"/>
      <c r="AP749" s="132"/>
      <c r="AQ749" s="132"/>
      <c r="AR749" s="132"/>
      <c r="AS749" s="132"/>
      <c r="AT749" s="132"/>
      <c r="AU749" s="132"/>
      <c r="AV749" s="132"/>
      <c r="AW749" s="132"/>
      <c r="AX749" s="132"/>
      <c r="AY749" s="132"/>
      <c r="AZ749" s="132"/>
      <c r="BA749" s="132"/>
      <c r="BB749" s="132"/>
      <c r="BC749" s="132"/>
      <c r="BD749" s="132"/>
      <c r="BE749" s="132"/>
      <c r="BF749" s="132"/>
      <c r="BG749" s="132"/>
      <c r="BH749" s="132"/>
      <c r="BI749" s="132"/>
      <c r="BJ749" s="132"/>
      <c r="BK749" s="132"/>
      <c r="BL749" s="132"/>
      <c r="BM749" s="132"/>
      <c r="BN749" s="132"/>
      <c r="BO749" s="132"/>
      <c r="BP749" s="132"/>
      <c r="BQ749" s="132"/>
      <c r="BR749" s="132"/>
      <c r="BS749" s="132"/>
      <c r="BT749" s="132"/>
      <c r="BU749" s="132"/>
      <c r="BV749" s="132"/>
      <c r="BW749" s="132"/>
      <c r="BX749" s="132"/>
      <c r="BY749" s="132"/>
      <c r="BZ749" s="132"/>
      <c r="CA749" s="132"/>
      <c r="CB749" s="132"/>
      <c r="CC749" s="132"/>
      <c r="CD749" s="132"/>
      <c r="CE749" s="132"/>
      <c r="CF749" s="132"/>
      <c r="CG749" s="132"/>
      <c r="CH749" s="132"/>
      <c r="CI749" s="132"/>
      <c r="CJ749" s="132"/>
      <c r="CK749" s="132"/>
      <c r="CL749" s="132"/>
      <c r="CM749" s="132"/>
      <c r="CN749" s="132"/>
      <c r="CO749" s="132"/>
      <c r="CP749" s="132"/>
      <c r="CQ749" s="132"/>
      <c r="CR749" s="132"/>
      <c r="CS749" s="132"/>
      <c r="CT749" s="132"/>
      <c r="CU749" s="132"/>
      <c r="CV749" s="132"/>
      <c r="CW749" s="132"/>
      <c r="CX749" s="132"/>
      <c r="CY749" s="132"/>
      <c r="CZ749" s="132"/>
      <c r="DA749" s="132"/>
      <c r="DB749" s="132"/>
      <c r="DC749" s="132"/>
      <c r="DD749" s="132"/>
      <c r="DE749" s="132"/>
      <c r="DF749" s="132"/>
      <c r="DG749" s="132"/>
      <c r="DH749" s="132"/>
      <c r="DI749" s="132"/>
      <c r="DJ749" s="132"/>
      <c r="DK749" s="132"/>
      <c r="DL749" s="132"/>
      <c r="DM749" s="132"/>
      <c r="DN749" s="132"/>
      <c r="DO749" s="132"/>
      <c r="DP749" s="132"/>
      <c r="DQ749" s="132"/>
      <c r="DR749" s="132"/>
      <c r="DS749" s="132"/>
      <c r="DT749" s="132"/>
      <c r="DU749" s="132"/>
      <c r="DV749" s="132"/>
      <c r="DW749" s="132"/>
      <c r="DX749" s="132"/>
      <c r="DY749" s="132"/>
      <c r="DZ749" s="132"/>
      <c r="EA749" s="132"/>
      <c r="EB749" s="132"/>
      <c r="EC749" s="132"/>
      <c r="ED749" s="132"/>
      <c r="EE749" s="132"/>
      <c r="EF749" s="132"/>
      <c r="EG749" s="132"/>
      <c r="EH749" s="132"/>
      <c r="EI749" s="132"/>
      <c r="EJ749" s="132"/>
      <c r="EK749" s="132"/>
      <c r="EL749" s="132"/>
      <c r="EM749" s="132"/>
      <c r="EN749" s="132"/>
      <c r="EO749" s="132"/>
      <c r="EP749" s="132"/>
      <c r="EQ749" s="132"/>
      <c r="ER749" s="132"/>
      <c r="ES749" s="132"/>
      <c r="ET749" s="132"/>
      <c r="EU749" s="132"/>
      <c r="EV749" s="132"/>
      <c r="EW749" s="132"/>
      <c r="EX749" s="132"/>
      <c r="EY749" s="132"/>
      <c r="EZ749" s="132"/>
      <c r="FA749" s="132"/>
      <c r="FB749" s="132"/>
      <c r="FC749" s="132"/>
      <c r="FD749" s="132"/>
      <c r="FE749" s="132"/>
      <c r="FF749" s="132"/>
      <c r="FG749" s="132"/>
      <c r="FH749" s="132"/>
      <c r="FI749" s="132"/>
      <c r="FJ749" s="132"/>
      <c r="FK749" s="132"/>
      <c r="FL749" s="132"/>
      <c r="FM749" s="132"/>
      <c r="FN749" s="132"/>
      <c r="FO749" s="132"/>
      <c r="FP749" s="132"/>
      <c r="FQ749" s="132"/>
      <c r="FR749" s="132"/>
      <c r="FS749" s="132"/>
      <c r="FT749" s="132"/>
      <c r="FU749" s="132"/>
      <c r="FV749" s="132"/>
      <c r="FW749" s="132"/>
      <c r="FX749" s="132"/>
      <c r="FY749" s="132"/>
      <c r="FZ749" s="132"/>
      <c r="GA749" s="132"/>
      <c r="GB749" s="132"/>
      <c r="GC749" s="132"/>
      <c r="GD749" s="132"/>
      <c r="GE749" s="132"/>
      <c r="GF749" s="132"/>
      <c r="GG749" s="132"/>
      <c r="GH749" s="132"/>
      <c r="GI749" s="132"/>
      <c r="GJ749" s="132"/>
      <c r="GK749" s="132"/>
      <c r="GL749" s="132"/>
      <c r="GM749" s="132"/>
      <c r="GN749" s="132"/>
      <c r="GO749" s="132"/>
      <c r="GP749" s="132"/>
      <c r="GQ749" s="132"/>
      <c r="GR749" s="132"/>
      <c r="GS749" s="132"/>
      <c r="GT749" s="132"/>
      <c r="GU749" s="132"/>
      <c r="GV749" s="132"/>
      <c r="GW749" s="132"/>
      <c r="GX749" s="132"/>
      <c r="GY749" s="132"/>
      <c r="GZ749" s="132"/>
      <c r="HA749" s="132"/>
      <c r="HB749" s="132"/>
      <c r="HC749" s="132"/>
      <c r="HD749" s="132"/>
      <c r="HE749" s="132"/>
      <c r="HF749" s="132"/>
      <c r="HG749" s="132"/>
      <c r="HH749" s="132"/>
      <c r="HI749" s="132"/>
      <c r="HJ749" s="132"/>
      <c r="HK749" s="132"/>
      <c r="HL749" s="132"/>
      <c r="HM749" s="132"/>
      <c r="HN749" s="132"/>
      <c r="HO749" s="132"/>
      <c r="HP749" s="132"/>
      <c r="HQ749" s="132"/>
      <c r="HR749" s="132"/>
      <c r="HS749" s="132"/>
      <c r="HT749" s="132"/>
      <c r="HU749" s="132"/>
      <c r="HV749" s="132"/>
      <c r="HW749" s="132"/>
      <c r="HX749" s="132"/>
      <c r="HY749" s="132"/>
      <c r="HZ749" s="132"/>
      <c r="IA749" s="132"/>
      <c r="IB749" s="132"/>
      <c r="IC749" s="132"/>
      <c r="ID749" s="132"/>
      <c r="IE749" s="132"/>
      <c r="IF749" s="132"/>
      <c r="IG749" s="132"/>
      <c r="IH749" s="132"/>
      <c r="II749" s="132"/>
      <c r="IJ749" s="132"/>
      <c r="IK749" s="132"/>
      <c r="IL749" s="132"/>
      <c r="IM749" s="132"/>
      <c r="IN749" s="132"/>
      <c r="IO749" s="132"/>
      <c r="IP749" s="132"/>
      <c r="IQ749" s="132"/>
      <c r="IR749" s="132"/>
      <c r="IS749" s="132"/>
      <c r="IT749" s="132"/>
    </row>
    <row r="750" spans="1:254">
      <c r="A750" s="734"/>
      <c r="B750" s="146"/>
      <c r="C750" s="340"/>
      <c r="D750" s="329"/>
      <c r="E750" s="833"/>
      <c r="F750" s="908"/>
      <c r="G750" s="159"/>
      <c r="H750" s="132"/>
      <c r="I750" s="132"/>
      <c r="J750" s="132"/>
      <c r="K750" s="132"/>
      <c r="L750" s="132"/>
      <c r="M750" s="132"/>
      <c r="N750" s="132"/>
      <c r="O750" s="132"/>
      <c r="P750" s="132"/>
      <c r="Q750" s="132"/>
      <c r="R750" s="132"/>
      <c r="S750" s="132"/>
      <c r="T750" s="132"/>
      <c r="U750" s="132"/>
      <c r="V750" s="132"/>
      <c r="W750" s="132"/>
      <c r="X750" s="132"/>
      <c r="Y750" s="132"/>
      <c r="Z750" s="132"/>
      <c r="AA750" s="132"/>
      <c r="AB750" s="132"/>
      <c r="AC750" s="132"/>
      <c r="AD750" s="132"/>
      <c r="AE750" s="132"/>
      <c r="AF750" s="132"/>
      <c r="AG750" s="132"/>
      <c r="AH750" s="132"/>
      <c r="AI750" s="132"/>
      <c r="AJ750" s="132"/>
      <c r="AK750" s="132"/>
      <c r="AL750" s="132"/>
      <c r="AM750" s="132"/>
      <c r="AN750" s="132"/>
      <c r="AO750" s="132"/>
      <c r="AP750" s="132"/>
      <c r="AQ750" s="132"/>
      <c r="AR750" s="132"/>
      <c r="AS750" s="132"/>
      <c r="AT750" s="132"/>
      <c r="AU750" s="132"/>
      <c r="AV750" s="132"/>
      <c r="AW750" s="132"/>
      <c r="AX750" s="132"/>
      <c r="AY750" s="132"/>
      <c r="AZ750" s="132"/>
      <c r="BA750" s="132"/>
      <c r="BB750" s="132"/>
      <c r="BC750" s="132"/>
      <c r="BD750" s="132"/>
      <c r="BE750" s="132"/>
      <c r="BF750" s="132"/>
      <c r="BG750" s="132"/>
      <c r="BH750" s="132"/>
      <c r="BI750" s="132"/>
      <c r="BJ750" s="132"/>
      <c r="BK750" s="132"/>
      <c r="BL750" s="132"/>
      <c r="BM750" s="132"/>
      <c r="BN750" s="132"/>
      <c r="BO750" s="132"/>
      <c r="BP750" s="132"/>
      <c r="BQ750" s="132"/>
      <c r="BR750" s="132"/>
      <c r="BS750" s="132"/>
      <c r="BT750" s="132"/>
      <c r="BU750" s="132"/>
      <c r="BV750" s="132"/>
      <c r="BW750" s="132"/>
      <c r="BX750" s="132"/>
      <c r="BY750" s="132"/>
      <c r="BZ750" s="132"/>
      <c r="CA750" s="132"/>
      <c r="CB750" s="132"/>
      <c r="CC750" s="132"/>
      <c r="CD750" s="132"/>
      <c r="CE750" s="132"/>
      <c r="CF750" s="132"/>
      <c r="CG750" s="132"/>
      <c r="CH750" s="132"/>
      <c r="CI750" s="132"/>
      <c r="CJ750" s="132"/>
      <c r="CK750" s="132"/>
      <c r="CL750" s="132"/>
      <c r="CM750" s="132"/>
      <c r="CN750" s="132"/>
      <c r="CO750" s="132"/>
      <c r="CP750" s="132"/>
      <c r="CQ750" s="132"/>
      <c r="CR750" s="132"/>
      <c r="CS750" s="132"/>
      <c r="CT750" s="132"/>
      <c r="CU750" s="132"/>
      <c r="CV750" s="132"/>
      <c r="CW750" s="132"/>
      <c r="CX750" s="132"/>
      <c r="CY750" s="132"/>
      <c r="CZ750" s="132"/>
      <c r="DA750" s="132"/>
      <c r="DB750" s="132"/>
      <c r="DC750" s="132"/>
      <c r="DD750" s="132"/>
      <c r="DE750" s="132"/>
      <c r="DF750" s="132"/>
      <c r="DG750" s="132"/>
      <c r="DH750" s="132"/>
      <c r="DI750" s="132"/>
      <c r="DJ750" s="132"/>
      <c r="DK750" s="132"/>
      <c r="DL750" s="132"/>
      <c r="DM750" s="132"/>
      <c r="DN750" s="132"/>
      <c r="DO750" s="132"/>
      <c r="DP750" s="132"/>
      <c r="DQ750" s="132"/>
      <c r="DR750" s="132"/>
      <c r="DS750" s="132"/>
      <c r="DT750" s="132"/>
      <c r="DU750" s="132"/>
      <c r="DV750" s="132"/>
      <c r="DW750" s="132"/>
      <c r="DX750" s="132"/>
      <c r="DY750" s="132"/>
      <c r="DZ750" s="132"/>
      <c r="EA750" s="132"/>
      <c r="EB750" s="132"/>
      <c r="EC750" s="132"/>
      <c r="ED750" s="132"/>
      <c r="EE750" s="132"/>
      <c r="EF750" s="132"/>
      <c r="EG750" s="132"/>
      <c r="EH750" s="132"/>
      <c r="EI750" s="132"/>
      <c r="EJ750" s="132"/>
      <c r="EK750" s="132"/>
      <c r="EL750" s="132"/>
      <c r="EM750" s="132"/>
      <c r="EN750" s="132"/>
      <c r="EO750" s="132"/>
      <c r="EP750" s="132"/>
      <c r="EQ750" s="132"/>
      <c r="ER750" s="132"/>
      <c r="ES750" s="132"/>
      <c r="ET750" s="132"/>
      <c r="EU750" s="132"/>
      <c r="EV750" s="132"/>
      <c r="EW750" s="132"/>
      <c r="EX750" s="132"/>
      <c r="EY750" s="132"/>
      <c r="EZ750" s="132"/>
      <c r="FA750" s="132"/>
      <c r="FB750" s="132"/>
      <c r="FC750" s="132"/>
      <c r="FD750" s="132"/>
      <c r="FE750" s="132"/>
      <c r="FF750" s="132"/>
      <c r="FG750" s="132"/>
      <c r="FH750" s="132"/>
      <c r="FI750" s="132"/>
      <c r="FJ750" s="132"/>
      <c r="FK750" s="132"/>
      <c r="FL750" s="132"/>
      <c r="FM750" s="132"/>
      <c r="FN750" s="132"/>
      <c r="FO750" s="132"/>
      <c r="FP750" s="132"/>
      <c r="FQ750" s="132"/>
      <c r="FR750" s="132"/>
      <c r="FS750" s="132"/>
      <c r="FT750" s="132"/>
      <c r="FU750" s="132"/>
      <c r="FV750" s="132"/>
      <c r="FW750" s="132"/>
      <c r="FX750" s="132"/>
      <c r="FY750" s="132"/>
      <c r="FZ750" s="132"/>
      <c r="GA750" s="132"/>
      <c r="GB750" s="132"/>
      <c r="GC750" s="132"/>
      <c r="GD750" s="132"/>
      <c r="GE750" s="132"/>
      <c r="GF750" s="132"/>
      <c r="GG750" s="132"/>
      <c r="GH750" s="132"/>
      <c r="GI750" s="132"/>
      <c r="GJ750" s="132"/>
      <c r="GK750" s="132"/>
      <c r="GL750" s="132"/>
      <c r="GM750" s="132"/>
      <c r="GN750" s="132"/>
      <c r="GO750" s="132"/>
      <c r="GP750" s="132"/>
      <c r="GQ750" s="132"/>
      <c r="GR750" s="132"/>
      <c r="GS750" s="132"/>
      <c r="GT750" s="132"/>
      <c r="GU750" s="132"/>
      <c r="GV750" s="132"/>
      <c r="GW750" s="132"/>
      <c r="GX750" s="132"/>
      <c r="GY750" s="132"/>
      <c r="GZ750" s="132"/>
      <c r="HA750" s="132"/>
      <c r="HB750" s="132"/>
      <c r="HC750" s="132"/>
      <c r="HD750" s="132"/>
      <c r="HE750" s="132"/>
      <c r="HF750" s="132"/>
      <c r="HG750" s="132"/>
      <c r="HH750" s="132"/>
      <c r="HI750" s="132"/>
      <c r="HJ750" s="132"/>
      <c r="HK750" s="132"/>
      <c r="HL750" s="132"/>
      <c r="HM750" s="132"/>
      <c r="HN750" s="132"/>
      <c r="HO750" s="132"/>
      <c r="HP750" s="132"/>
      <c r="HQ750" s="132"/>
      <c r="HR750" s="132"/>
      <c r="HS750" s="132"/>
      <c r="HT750" s="132"/>
      <c r="HU750" s="132"/>
      <c r="HV750" s="132"/>
      <c r="HW750" s="132"/>
      <c r="HX750" s="132"/>
      <c r="HY750" s="132"/>
      <c r="HZ750" s="132"/>
      <c r="IA750" s="132"/>
      <c r="IB750" s="132"/>
      <c r="IC750" s="132"/>
      <c r="ID750" s="132"/>
      <c r="IE750" s="132"/>
      <c r="IF750" s="132"/>
      <c r="IG750" s="132"/>
      <c r="IH750" s="132"/>
      <c r="II750" s="132"/>
      <c r="IJ750" s="132"/>
      <c r="IK750" s="132"/>
      <c r="IL750" s="132"/>
      <c r="IM750" s="132"/>
      <c r="IN750" s="132"/>
      <c r="IO750" s="132"/>
      <c r="IP750" s="132"/>
      <c r="IQ750" s="132"/>
      <c r="IR750" s="132"/>
      <c r="IS750" s="132"/>
      <c r="IT750" s="132"/>
    </row>
    <row r="751" spans="1:254">
      <c r="A751" s="331" t="s">
        <v>133</v>
      </c>
      <c r="B751" s="526" t="s">
        <v>355</v>
      </c>
      <c r="C751" s="777"/>
      <c r="D751" s="778"/>
      <c r="E751" s="843"/>
      <c r="F751" s="915">
        <f>SUM(F737:F750)</f>
        <v>0</v>
      </c>
      <c r="G751" s="159"/>
      <c r="H751" s="132"/>
      <c r="I751" s="132"/>
      <c r="J751" s="132"/>
      <c r="K751" s="132"/>
      <c r="L751" s="132"/>
      <c r="M751" s="132"/>
      <c r="N751" s="132"/>
      <c r="O751" s="132"/>
      <c r="P751" s="132"/>
      <c r="Q751" s="132"/>
      <c r="R751" s="132"/>
      <c r="S751" s="132"/>
      <c r="T751" s="132"/>
      <c r="U751" s="132"/>
      <c r="V751" s="132"/>
      <c r="W751" s="132"/>
      <c r="X751" s="132"/>
      <c r="Y751" s="132"/>
      <c r="Z751" s="132"/>
      <c r="AA751" s="132"/>
      <c r="AB751" s="132"/>
      <c r="AC751" s="132"/>
      <c r="AD751" s="132"/>
      <c r="AE751" s="132"/>
      <c r="AF751" s="132"/>
      <c r="AG751" s="132"/>
      <c r="AH751" s="132"/>
      <c r="AI751" s="132"/>
      <c r="AJ751" s="132"/>
      <c r="AK751" s="132"/>
      <c r="AL751" s="132"/>
      <c r="AM751" s="132"/>
      <c r="AN751" s="132"/>
      <c r="AO751" s="132"/>
      <c r="AP751" s="132"/>
      <c r="AQ751" s="132"/>
      <c r="AR751" s="132"/>
      <c r="AS751" s="132"/>
      <c r="AT751" s="132"/>
      <c r="AU751" s="132"/>
      <c r="AV751" s="132"/>
      <c r="AW751" s="132"/>
      <c r="AX751" s="132"/>
      <c r="AY751" s="132"/>
      <c r="AZ751" s="132"/>
      <c r="BA751" s="132"/>
      <c r="BB751" s="132"/>
      <c r="BC751" s="132"/>
      <c r="BD751" s="132"/>
      <c r="BE751" s="132"/>
      <c r="BF751" s="132"/>
      <c r="BG751" s="132"/>
      <c r="BH751" s="132"/>
      <c r="BI751" s="132"/>
      <c r="BJ751" s="132"/>
      <c r="BK751" s="132"/>
      <c r="BL751" s="132"/>
      <c r="BM751" s="132"/>
      <c r="BN751" s="132"/>
      <c r="BO751" s="132"/>
      <c r="BP751" s="132"/>
      <c r="BQ751" s="132"/>
      <c r="BR751" s="132"/>
      <c r="BS751" s="132"/>
      <c r="BT751" s="132"/>
      <c r="BU751" s="132"/>
      <c r="BV751" s="132"/>
      <c r="BW751" s="132"/>
      <c r="BX751" s="132"/>
      <c r="BY751" s="132"/>
      <c r="BZ751" s="132"/>
      <c r="CA751" s="132"/>
      <c r="CB751" s="132"/>
      <c r="CC751" s="132"/>
      <c r="CD751" s="132"/>
      <c r="CE751" s="132"/>
      <c r="CF751" s="132"/>
      <c r="CG751" s="132"/>
      <c r="CH751" s="132"/>
      <c r="CI751" s="132"/>
      <c r="CJ751" s="132"/>
      <c r="CK751" s="132"/>
      <c r="CL751" s="132"/>
      <c r="CM751" s="132"/>
      <c r="CN751" s="132"/>
      <c r="CO751" s="132"/>
      <c r="CP751" s="132"/>
      <c r="CQ751" s="132"/>
      <c r="CR751" s="132"/>
      <c r="CS751" s="132"/>
      <c r="CT751" s="132"/>
      <c r="CU751" s="132"/>
      <c r="CV751" s="132"/>
      <c r="CW751" s="132"/>
      <c r="CX751" s="132"/>
      <c r="CY751" s="132"/>
      <c r="CZ751" s="132"/>
      <c r="DA751" s="132"/>
      <c r="DB751" s="132"/>
      <c r="DC751" s="132"/>
      <c r="DD751" s="132"/>
      <c r="DE751" s="132"/>
      <c r="DF751" s="132"/>
      <c r="DG751" s="132"/>
      <c r="DH751" s="132"/>
      <c r="DI751" s="132"/>
      <c r="DJ751" s="132"/>
      <c r="DK751" s="132"/>
      <c r="DL751" s="132"/>
      <c r="DM751" s="132"/>
      <c r="DN751" s="132"/>
      <c r="DO751" s="132"/>
      <c r="DP751" s="132"/>
      <c r="DQ751" s="132"/>
      <c r="DR751" s="132"/>
      <c r="DS751" s="132"/>
      <c r="DT751" s="132"/>
      <c r="DU751" s="132"/>
      <c r="DV751" s="132"/>
      <c r="DW751" s="132"/>
      <c r="DX751" s="132"/>
      <c r="DY751" s="132"/>
      <c r="DZ751" s="132"/>
      <c r="EA751" s="132"/>
      <c r="EB751" s="132"/>
      <c r="EC751" s="132"/>
      <c r="ED751" s="132"/>
      <c r="EE751" s="132"/>
      <c r="EF751" s="132"/>
      <c r="EG751" s="132"/>
      <c r="EH751" s="132"/>
      <c r="EI751" s="132"/>
      <c r="EJ751" s="132"/>
      <c r="EK751" s="132"/>
      <c r="EL751" s="132"/>
      <c r="EM751" s="132"/>
      <c r="EN751" s="132"/>
      <c r="EO751" s="132"/>
      <c r="EP751" s="132"/>
      <c r="EQ751" s="132"/>
      <c r="ER751" s="132"/>
      <c r="ES751" s="132"/>
      <c r="ET751" s="132"/>
      <c r="EU751" s="132"/>
      <c r="EV751" s="132"/>
      <c r="EW751" s="132"/>
      <c r="EX751" s="132"/>
      <c r="EY751" s="132"/>
      <c r="EZ751" s="132"/>
      <c r="FA751" s="132"/>
      <c r="FB751" s="132"/>
      <c r="FC751" s="132"/>
      <c r="FD751" s="132"/>
      <c r="FE751" s="132"/>
      <c r="FF751" s="132"/>
      <c r="FG751" s="132"/>
      <c r="FH751" s="132"/>
      <c r="FI751" s="132"/>
      <c r="FJ751" s="132"/>
      <c r="FK751" s="132"/>
      <c r="FL751" s="132"/>
      <c r="FM751" s="132"/>
      <c r="FN751" s="132"/>
      <c r="FO751" s="132"/>
      <c r="FP751" s="132"/>
      <c r="FQ751" s="132"/>
      <c r="FR751" s="132"/>
      <c r="FS751" s="132"/>
      <c r="FT751" s="132"/>
      <c r="FU751" s="132"/>
      <c r="FV751" s="132"/>
      <c r="FW751" s="132"/>
      <c r="FX751" s="132"/>
      <c r="FY751" s="132"/>
      <c r="FZ751" s="132"/>
      <c r="GA751" s="132"/>
      <c r="GB751" s="132"/>
      <c r="GC751" s="132"/>
      <c r="GD751" s="132"/>
      <c r="GE751" s="132"/>
      <c r="GF751" s="132"/>
      <c r="GG751" s="132"/>
      <c r="GH751" s="132"/>
      <c r="GI751" s="132"/>
      <c r="GJ751" s="132"/>
      <c r="GK751" s="132"/>
      <c r="GL751" s="132"/>
      <c r="GM751" s="132"/>
      <c r="GN751" s="132"/>
      <c r="GO751" s="132"/>
      <c r="GP751" s="132"/>
      <c r="GQ751" s="132"/>
      <c r="GR751" s="132"/>
      <c r="GS751" s="132"/>
      <c r="GT751" s="132"/>
      <c r="GU751" s="132"/>
      <c r="GV751" s="132"/>
      <c r="GW751" s="132"/>
      <c r="GX751" s="132"/>
      <c r="GY751" s="132"/>
      <c r="GZ751" s="132"/>
      <c r="HA751" s="132"/>
      <c r="HB751" s="132"/>
      <c r="HC751" s="132"/>
      <c r="HD751" s="132"/>
      <c r="HE751" s="132"/>
      <c r="HF751" s="132"/>
      <c r="HG751" s="132"/>
      <c r="HH751" s="132"/>
      <c r="HI751" s="132"/>
      <c r="HJ751" s="132"/>
      <c r="HK751" s="132"/>
      <c r="HL751" s="132"/>
      <c r="HM751" s="132"/>
      <c r="HN751" s="132"/>
      <c r="HO751" s="132"/>
      <c r="HP751" s="132"/>
      <c r="HQ751" s="132"/>
      <c r="HR751" s="132"/>
      <c r="HS751" s="132"/>
      <c r="HT751" s="132"/>
      <c r="HU751" s="132"/>
      <c r="HV751" s="132"/>
      <c r="HW751" s="132"/>
      <c r="HX751" s="132"/>
      <c r="HY751" s="132"/>
      <c r="HZ751" s="132"/>
      <c r="IA751" s="132"/>
      <c r="IB751" s="132"/>
      <c r="IC751" s="132"/>
      <c r="ID751" s="132"/>
      <c r="IE751" s="132"/>
      <c r="IF751" s="132"/>
      <c r="IG751" s="132"/>
      <c r="IH751" s="132"/>
      <c r="II751" s="132"/>
      <c r="IJ751" s="132"/>
      <c r="IK751" s="132"/>
      <c r="IL751" s="132"/>
      <c r="IM751" s="132"/>
      <c r="IN751" s="132"/>
      <c r="IO751" s="132"/>
      <c r="IP751" s="132"/>
      <c r="IQ751" s="132"/>
      <c r="IR751" s="132"/>
      <c r="IS751" s="132"/>
      <c r="IT751" s="132"/>
    </row>
    <row r="752" spans="1:254">
      <c r="A752" s="578"/>
      <c r="B752" s="578"/>
      <c r="C752" s="779"/>
      <c r="D752" s="780"/>
      <c r="E752" s="843"/>
      <c r="F752" s="917"/>
      <c r="G752" s="159"/>
      <c r="H752" s="132"/>
      <c r="I752" s="132"/>
      <c r="J752" s="132"/>
      <c r="K752" s="132"/>
      <c r="L752" s="132"/>
      <c r="M752" s="132"/>
      <c r="N752" s="132"/>
      <c r="O752" s="132"/>
      <c r="P752" s="132"/>
      <c r="Q752" s="132"/>
      <c r="R752" s="132"/>
      <c r="S752" s="132"/>
      <c r="T752" s="132"/>
      <c r="U752" s="132"/>
      <c r="V752" s="132"/>
      <c r="W752" s="132"/>
      <c r="X752" s="132"/>
      <c r="Y752" s="132"/>
      <c r="Z752" s="132"/>
      <c r="AA752" s="132"/>
      <c r="AB752" s="132"/>
      <c r="AC752" s="132"/>
      <c r="AD752" s="132"/>
      <c r="AE752" s="132"/>
      <c r="AF752" s="132"/>
      <c r="AG752" s="132"/>
      <c r="AH752" s="132"/>
      <c r="AI752" s="132"/>
      <c r="AJ752" s="132"/>
      <c r="AK752" s="132"/>
      <c r="AL752" s="132"/>
      <c r="AM752" s="132"/>
      <c r="AN752" s="132"/>
      <c r="AO752" s="132"/>
      <c r="AP752" s="132"/>
      <c r="AQ752" s="132"/>
      <c r="AR752" s="132"/>
      <c r="AS752" s="132"/>
      <c r="AT752" s="132"/>
      <c r="AU752" s="132"/>
      <c r="AV752" s="132"/>
      <c r="AW752" s="132"/>
      <c r="AX752" s="132"/>
      <c r="AY752" s="132"/>
      <c r="AZ752" s="132"/>
      <c r="BA752" s="132"/>
      <c r="BB752" s="132"/>
      <c r="BC752" s="132"/>
      <c r="BD752" s="132"/>
      <c r="BE752" s="132"/>
      <c r="BF752" s="132"/>
      <c r="BG752" s="132"/>
      <c r="BH752" s="132"/>
      <c r="BI752" s="132"/>
      <c r="BJ752" s="132"/>
      <c r="BK752" s="132"/>
      <c r="BL752" s="132"/>
      <c r="BM752" s="132"/>
      <c r="BN752" s="132"/>
      <c r="BO752" s="132"/>
      <c r="BP752" s="132"/>
      <c r="BQ752" s="132"/>
      <c r="BR752" s="132"/>
      <c r="BS752" s="132"/>
      <c r="BT752" s="132"/>
      <c r="BU752" s="132"/>
      <c r="BV752" s="132"/>
      <c r="BW752" s="132"/>
      <c r="BX752" s="132"/>
      <c r="BY752" s="132"/>
      <c r="BZ752" s="132"/>
      <c r="CA752" s="132"/>
      <c r="CB752" s="132"/>
      <c r="CC752" s="132"/>
      <c r="CD752" s="132"/>
      <c r="CE752" s="132"/>
      <c r="CF752" s="132"/>
      <c r="CG752" s="132"/>
      <c r="CH752" s="132"/>
      <c r="CI752" s="132"/>
      <c r="CJ752" s="132"/>
      <c r="CK752" s="132"/>
      <c r="CL752" s="132"/>
      <c r="CM752" s="132"/>
      <c r="CN752" s="132"/>
      <c r="CO752" s="132"/>
      <c r="CP752" s="132"/>
      <c r="CQ752" s="132"/>
      <c r="CR752" s="132"/>
      <c r="CS752" s="132"/>
      <c r="CT752" s="132"/>
      <c r="CU752" s="132"/>
      <c r="CV752" s="132"/>
      <c r="CW752" s="132"/>
      <c r="CX752" s="132"/>
      <c r="CY752" s="132"/>
      <c r="CZ752" s="132"/>
      <c r="DA752" s="132"/>
      <c r="DB752" s="132"/>
      <c r="DC752" s="132"/>
      <c r="DD752" s="132"/>
      <c r="DE752" s="132"/>
      <c r="DF752" s="132"/>
      <c r="DG752" s="132"/>
      <c r="DH752" s="132"/>
      <c r="DI752" s="132"/>
      <c r="DJ752" s="132"/>
      <c r="DK752" s="132"/>
      <c r="DL752" s="132"/>
      <c r="DM752" s="132"/>
      <c r="DN752" s="132"/>
      <c r="DO752" s="132"/>
      <c r="DP752" s="132"/>
      <c r="DQ752" s="132"/>
      <c r="DR752" s="132"/>
      <c r="DS752" s="132"/>
      <c r="DT752" s="132"/>
      <c r="DU752" s="132"/>
      <c r="DV752" s="132"/>
      <c r="DW752" s="132"/>
      <c r="DX752" s="132"/>
      <c r="DY752" s="132"/>
      <c r="DZ752" s="132"/>
      <c r="EA752" s="132"/>
      <c r="EB752" s="132"/>
      <c r="EC752" s="132"/>
      <c r="ED752" s="132"/>
      <c r="EE752" s="132"/>
      <c r="EF752" s="132"/>
      <c r="EG752" s="132"/>
      <c r="EH752" s="132"/>
      <c r="EI752" s="132"/>
      <c r="EJ752" s="132"/>
      <c r="EK752" s="132"/>
      <c r="EL752" s="132"/>
      <c r="EM752" s="132"/>
      <c r="EN752" s="132"/>
      <c r="EO752" s="132"/>
      <c r="EP752" s="132"/>
      <c r="EQ752" s="132"/>
      <c r="ER752" s="132"/>
      <c r="ES752" s="132"/>
      <c r="ET752" s="132"/>
      <c r="EU752" s="132"/>
      <c r="EV752" s="132"/>
      <c r="EW752" s="132"/>
      <c r="EX752" s="132"/>
      <c r="EY752" s="132"/>
      <c r="EZ752" s="132"/>
      <c r="FA752" s="132"/>
      <c r="FB752" s="132"/>
      <c r="FC752" s="132"/>
      <c r="FD752" s="132"/>
      <c r="FE752" s="132"/>
      <c r="FF752" s="132"/>
      <c r="FG752" s="132"/>
      <c r="FH752" s="132"/>
      <c r="FI752" s="132"/>
      <c r="FJ752" s="132"/>
      <c r="FK752" s="132"/>
      <c r="FL752" s="132"/>
      <c r="FM752" s="132"/>
      <c r="FN752" s="132"/>
      <c r="FO752" s="132"/>
      <c r="FP752" s="132"/>
      <c r="FQ752" s="132"/>
      <c r="FR752" s="132"/>
      <c r="FS752" s="132"/>
      <c r="FT752" s="132"/>
      <c r="FU752" s="132"/>
      <c r="FV752" s="132"/>
      <c r="FW752" s="132"/>
      <c r="FX752" s="132"/>
      <c r="FY752" s="132"/>
      <c r="FZ752" s="132"/>
      <c r="GA752" s="132"/>
      <c r="GB752" s="132"/>
      <c r="GC752" s="132"/>
      <c r="GD752" s="132"/>
      <c r="GE752" s="132"/>
      <c r="GF752" s="132"/>
      <c r="GG752" s="132"/>
      <c r="GH752" s="132"/>
      <c r="GI752" s="132"/>
      <c r="GJ752" s="132"/>
      <c r="GK752" s="132"/>
      <c r="GL752" s="132"/>
      <c r="GM752" s="132"/>
      <c r="GN752" s="132"/>
      <c r="GO752" s="132"/>
      <c r="GP752" s="132"/>
      <c r="GQ752" s="132"/>
      <c r="GR752" s="132"/>
      <c r="GS752" s="132"/>
      <c r="GT752" s="132"/>
      <c r="GU752" s="132"/>
      <c r="GV752" s="132"/>
      <c r="GW752" s="132"/>
      <c r="GX752" s="132"/>
      <c r="GY752" s="132"/>
      <c r="GZ752" s="132"/>
      <c r="HA752" s="132"/>
      <c r="HB752" s="132"/>
      <c r="HC752" s="132"/>
      <c r="HD752" s="132"/>
      <c r="HE752" s="132"/>
      <c r="HF752" s="132"/>
      <c r="HG752" s="132"/>
      <c r="HH752" s="132"/>
      <c r="HI752" s="132"/>
      <c r="HJ752" s="132"/>
      <c r="HK752" s="132"/>
      <c r="HL752" s="132"/>
      <c r="HM752" s="132"/>
      <c r="HN752" s="132"/>
      <c r="HO752" s="132"/>
      <c r="HP752" s="132"/>
      <c r="HQ752" s="132"/>
      <c r="HR752" s="132"/>
      <c r="HS752" s="132"/>
      <c r="HT752" s="132"/>
      <c r="HU752" s="132"/>
      <c r="HV752" s="132"/>
      <c r="HW752" s="132"/>
      <c r="HX752" s="132"/>
      <c r="HY752" s="132"/>
      <c r="HZ752" s="132"/>
      <c r="IA752" s="132"/>
      <c r="IB752" s="132"/>
      <c r="IC752" s="132"/>
      <c r="ID752" s="132"/>
      <c r="IE752" s="132"/>
      <c r="IF752" s="132"/>
      <c r="IG752" s="132"/>
      <c r="IH752" s="132"/>
      <c r="II752" s="132"/>
      <c r="IJ752" s="132"/>
      <c r="IK752" s="132"/>
      <c r="IL752" s="132"/>
      <c r="IM752" s="132"/>
      <c r="IN752" s="132"/>
      <c r="IO752" s="132"/>
      <c r="IP752" s="132"/>
      <c r="IQ752" s="132"/>
      <c r="IR752" s="132"/>
      <c r="IS752" s="132"/>
      <c r="IT752" s="132"/>
    </row>
    <row r="753" spans="1:256" s="142" customFormat="1">
      <c r="A753" s="341" t="s">
        <v>102</v>
      </c>
      <c r="B753" s="526" t="s">
        <v>354</v>
      </c>
      <c r="C753" s="344"/>
      <c r="D753" s="333"/>
      <c r="E753" s="826"/>
      <c r="F753" s="915">
        <f>F751+F733</f>
        <v>0</v>
      </c>
      <c r="IT753" s="144"/>
      <c r="IU753" s="132"/>
      <c r="IV753" s="132"/>
    </row>
    <row r="754" spans="1:256" s="158" customFormat="1">
      <c r="A754" s="341"/>
      <c r="B754" s="526"/>
      <c r="C754" s="757"/>
      <c r="D754" s="329"/>
      <c r="E754" s="825"/>
      <c r="F754" s="910"/>
      <c r="G754" s="142"/>
      <c r="IU754" s="132"/>
      <c r="IV754" s="132"/>
    </row>
    <row r="755" spans="1:256" s="143" customFormat="1">
      <c r="A755" s="341" t="s">
        <v>103</v>
      </c>
      <c r="B755" s="526" t="s">
        <v>250</v>
      </c>
      <c r="C755" s="344"/>
      <c r="D755" s="333"/>
      <c r="E755" s="826"/>
      <c r="F755" s="909"/>
      <c r="IU755" s="132"/>
      <c r="IV755" s="132"/>
    </row>
    <row r="756" spans="1:256" s="143" customFormat="1">
      <c r="A756" s="341"/>
      <c r="B756" s="526"/>
      <c r="C756" s="344"/>
      <c r="D756" s="333"/>
      <c r="E756" s="826"/>
      <c r="F756" s="909"/>
      <c r="IU756" s="132"/>
      <c r="IV756" s="132"/>
    </row>
    <row r="757" spans="1:256" s="143" customFormat="1">
      <c r="A757" s="341"/>
      <c r="B757" s="526" t="s">
        <v>353</v>
      </c>
      <c r="C757" s="344"/>
      <c r="D757" s="333"/>
      <c r="E757" s="826"/>
      <c r="F757" s="909"/>
      <c r="IU757" s="132"/>
      <c r="IV757" s="132"/>
    </row>
    <row r="758" spans="1:256" s="143" customFormat="1">
      <c r="A758" s="341"/>
      <c r="B758" s="526"/>
      <c r="C758" s="344"/>
      <c r="D758" s="333"/>
      <c r="E758" s="826"/>
      <c r="F758" s="909"/>
      <c r="IU758" s="132"/>
      <c r="IV758" s="132"/>
    </row>
    <row r="759" spans="1:256" s="142" customFormat="1">
      <c r="A759" s="734" t="s">
        <v>1435</v>
      </c>
      <c r="B759" s="146" t="s">
        <v>1436</v>
      </c>
      <c r="C759" s="340"/>
      <c r="D759" s="329"/>
      <c r="E759" s="833"/>
      <c r="F759" s="908"/>
      <c r="IT759" s="144"/>
      <c r="IU759" s="132"/>
      <c r="IV759" s="132"/>
    </row>
    <row r="760" spans="1:256" s="148" customFormat="1">
      <c r="A760" s="342"/>
      <c r="B760" s="146"/>
      <c r="C760" s="328">
        <v>80</v>
      </c>
      <c r="D760" s="329" t="s">
        <v>121</v>
      </c>
      <c r="E760" s="828"/>
      <c r="F760" s="911">
        <f>ROUND(ROUND(C760,2)*ROUND(E760,2),2)</f>
        <v>0</v>
      </c>
      <c r="G760" s="149"/>
      <c r="IU760" s="132"/>
      <c r="IV760" s="132"/>
    </row>
    <row r="761" spans="1:256" s="148" customFormat="1">
      <c r="A761" s="734"/>
      <c r="B761" s="146"/>
      <c r="C761" s="328"/>
      <c r="D761" s="329"/>
      <c r="E761" s="833"/>
      <c r="F761" s="911"/>
      <c r="G761" s="149"/>
      <c r="IU761" s="132"/>
      <c r="IV761" s="132"/>
    </row>
    <row r="762" spans="1:256" s="142" customFormat="1">
      <c r="A762" s="342" t="s">
        <v>352</v>
      </c>
      <c r="B762" s="146" t="s">
        <v>351</v>
      </c>
      <c r="C762" s="328"/>
      <c r="D762" s="329"/>
      <c r="E762" s="825"/>
      <c r="F762" s="911"/>
      <c r="IT762" s="144"/>
      <c r="IU762" s="132"/>
      <c r="IV762" s="132"/>
    </row>
    <row r="763" spans="1:256" s="148" customFormat="1">
      <c r="A763" s="734"/>
      <c r="B763" s="146"/>
      <c r="C763" s="328">
        <v>32</v>
      </c>
      <c r="D763" s="329" t="s">
        <v>121</v>
      </c>
      <c r="E763" s="838"/>
      <c r="F763" s="911">
        <f t="shared" ref="F763:F822" si="22">ROUND(ROUND(C763,2)*ROUND(E763,2),2)</f>
        <v>0</v>
      </c>
      <c r="G763" s="149"/>
      <c r="IU763" s="132"/>
      <c r="IV763" s="132"/>
    </row>
    <row r="764" spans="1:256" s="148" customFormat="1">
      <c r="A764" s="342"/>
      <c r="B764" s="146"/>
      <c r="C764" s="328"/>
      <c r="D764" s="329"/>
      <c r="E764" s="825"/>
      <c r="F764" s="911"/>
      <c r="G764" s="149"/>
      <c r="IU764" s="132"/>
      <c r="IV764" s="132"/>
    </row>
    <row r="765" spans="1:256" s="148" customFormat="1" ht="25.5">
      <c r="A765" s="734" t="s">
        <v>350</v>
      </c>
      <c r="B765" s="146" t="s">
        <v>349</v>
      </c>
      <c r="C765" s="328"/>
      <c r="D765" s="329"/>
      <c r="E765" s="833"/>
      <c r="F765" s="911"/>
      <c r="G765" s="149"/>
      <c r="IU765" s="132"/>
      <c r="IV765" s="132"/>
    </row>
    <row r="766" spans="1:256" s="148" customFormat="1">
      <c r="A766" s="342"/>
      <c r="B766" s="146"/>
      <c r="C766" s="328">
        <v>16</v>
      </c>
      <c r="D766" s="329" t="s">
        <v>121</v>
      </c>
      <c r="E766" s="828"/>
      <c r="F766" s="911">
        <f t="shared" si="22"/>
        <v>0</v>
      </c>
      <c r="G766" s="149"/>
      <c r="IU766" s="132"/>
      <c r="IV766" s="132"/>
    </row>
    <row r="767" spans="1:256" s="148" customFormat="1">
      <c r="A767" s="342"/>
      <c r="B767" s="146"/>
      <c r="C767" s="328"/>
      <c r="D767" s="329"/>
      <c r="E767" s="825"/>
      <c r="F767" s="911"/>
      <c r="G767" s="149"/>
      <c r="IU767" s="132"/>
      <c r="IV767" s="132"/>
    </row>
    <row r="768" spans="1:256" s="143" customFormat="1">
      <c r="A768" s="734" t="s">
        <v>348</v>
      </c>
      <c r="B768" s="146" t="s">
        <v>347</v>
      </c>
      <c r="C768" s="328"/>
      <c r="D768" s="329"/>
      <c r="E768" s="833"/>
      <c r="F768" s="911"/>
      <c r="IV768" s="132"/>
    </row>
    <row r="769" spans="1:256" s="148" customFormat="1">
      <c r="A769" s="734"/>
      <c r="B769" s="146"/>
      <c r="C769" s="328">
        <v>1</v>
      </c>
      <c r="D769" s="329" t="s">
        <v>113</v>
      </c>
      <c r="E769" s="828"/>
      <c r="F769" s="911">
        <f t="shared" si="22"/>
        <v>0</v>
      </c>
      <c r="G769" s="149"/>
      <c r="IV769" s="132"/>
    </row>
    <row r="770" spans="1:256" s="148" customFormat="1">
      <c r="A770" s="734"/>
      <c r="B770" s="146"/>
      <c r="C770" s="328"/>
      <c r="D770" s="329"/>
      <c r="E770" s="833"/>
      <c r="F770" s="911"/>
      <c r="G770" s="149"/>
      <c r="IV770" s="132"/>
    </row>
    <row r="771" spans="1:256" ht="25.5">
      <c r="A771" s="342" t="s">
        <v>346</v>
      </c>
      <c r="B771" s="146" t="s">
        <v>345</v>
      </c>
      <c r="C771" s="328"/>
      <c r="D771" s="329"/>
      <c r="F771" s="911"/>
    </row>
    <row r="772" spans="1:256">
      <c r="A772" s="734"/>
      <c r="B772" s="146"/>
      <c r="C772" s="328">
        <v>1</v>
      </c>
      <c r="D772" s="329" t="s">
        <v>260</v>
      </c>
      <c r="E772" s="838"/>
      <c r="F772" s="911">
        <f t="shared" si="22"/>
        <v>0</v>
      </c>
    </row>
    <row r="773" spans="1:256">
      <c r="A773" s="342"/>
      <c r="B773" s="146"/>
      <c r="C773" s="340"/>
      <c r="D773" s="329"/>
      <c r="F773" s="911"/>
    </row>
    <row r="774" spans="1:256">
      <c r="A774" s="784"/>
      <c r="B774" s="526" t="s">
        <v>344</v>
      </c>
      <c r="C774" s="785"/>
      <c r="D774" s="769"/>
      <c r="E774" s="845"/>
      <c r="F774" s="911"/>
    </row>
    <row r="775" spans="1:256">
      <c r="A775" s="784"/>
      <c r="B775" s="526" t="s">
        <v>343</v>
      </c>
      <c r="C775" s="785"/>
      <c r="D775" s="769"/>
      <c r="E775" s="845"/>
      <c r="F775" s="911"/>
    </row>
    <row r="776" spans="1:256">
      <c r="A776" s="784"/>
      <c r="B776" s="146"/>
      <c r="C776" s="785"/>
      <c r="D776" s="769"/>
      <c r="E776" s="845"/>
      <c r="F776" s="911"/>
    </row>
    <row r="777" spans="1:256">
      <c r="A777" s="784"/>
      <c r="B777" s="526" t="s">
        <v>342</v>
      </c>
      <c r="C777" s="748"/>
      <c r="D777" s="769"/>
      <c r="E777" s="845"/>
      <c r="F777" s="911"/>
    </row>
    <row r="778" spans="1:256">
      <c r="A778" s="784"/>
      <c r="B778" s="526"/>
      <c r="C778" s="748"/>
      <c r="D778" s="769"/>
      <c r="E778" s="845"/>
      <c r="F778" s="911"/>
    </row>
    <row r="779" spans="1:256" ht="63.75">
      <c r="A779" s="784"/>
      <c r="B779" s="526" t="s">
        <v>1437</v>
      </c>
      <c r="C779" s="748"/>
      <c r="D779" s="769"/>
      <c r="E779" s="845"/>
      <c r="F779" s="911"/>
    </row>
    <row r="780" spans="1:256">
      <c r="A780" s="784"/>
      <c r="B780" s="526"/>
      <c r="C780" s="748"/>
      <c r="D780" s="769"/>
      <c r="E780" s="845"/>
      <c r="F780" s="911"/>
    </row>
    <row r="781" spans="1:256">
      <c r="A781" s="784"/>
      <c r="B781" s="526" t="s">
        <v>341</v>
      </c>
      <c r="C781" s="748"/>
      <c r="D781" s="769"/>
      <c r="E781" s="845"/>
      <c r="F781" s="911"/>
    </row>
    <row r="782" spans="1:256">
      <c r="A782" s="784"/>
      <c r="B782" s="526"/>
      <c r="C782" s="748"/>
      <c r="D782" s="769"/>
      <c r="E782" s="845"/>
      <c r="F782" s="911"/>
    </row>
    <row r="783" spans="1:256">
      <c r="A783" s="784"/>
      <c r="B783" s="164" t="s">
        <v>340</v>
      </c>
      <c r="C783" s="748"/>
      <c r="D783" s="769"/>
      <c r="E783" s="845"/>
      <c r="F783" s="911"/>
    </row>
    <row r="784" spans="1:256">
      <c r="A784" s="784"/>
      <c r="B784" s="146"/>
      <c r="C784" s="748"/>
      <c r="D784" s="769"/>
      <c r="E784" s="845"/>
      <c r="F784" s="911"/>
    </row>
    <row r="785" spans="1:6" ht="38.25">
      <c r="A785" s="768" t="s">
        <v>339</v>
      </c>
      <c r="B785" s="146" t="s">
        <v>338</v>
      </c>
      <c r="C785" s="748"/>
      <c r="D785" s="769"/>
      <c r="E785" s="840"/>
      <c r="F785" s="911"/>
    </row>
    <row r="786" spans="1:6">
      <c r="A786" s="784"/>
      <c r="B786" s="146"/>
      <c r="C786" s="748">
        <f>4*0.8</f>
        <v>3.2</v>
      </c>
      <c r="D786" s="769" t="s">
        <v>98</v>
      </c>
      <c r="E786" s="846"/>
      <c r="F786" s="911">
        <f t="shared" si="22"/>
        <v>0</v>
      </c>
    </row>
    <row r="787" spans="1:6">
      <c r="A787" s="784"/>
      <c r="B787" s="146"/>
      <c r="C787" s="748"/>
      <c r="D787" s="769"/>
      <c r="E787" s="845"/>
      <c r="F787" s="911"/>
    </row>
    <row r="788" spans="1:6" ht="51">
      <c r="A788" s="768" t="s">
        <v>337</v>
      </c>
      <c r="B788" s="146" t="s">
        <v>328</v>
      </c>
      <c r="C788" s="748"/>
      <c r="D788" s="769"/>
      <c r="E788" s="840"/>
      <c r="F788" s="911"/>
    </row>
    <row r="789" spans="1:6">
      <c r="A789" s="768"/>
      <c r="B789" s="146"/>
      <c r="C789" s="748">
        <f>4*0.8</f>
        <v>3.2</v>
      </c>
      <c r="D789" s="769" t="s">
        <v>98</v>
      </c>
      <c r="E789" s="846"/>
      <c r="F789" s="911">
        <f t="shared" si="22"/>
        <v>0</v>
      </c>
    </row>
    <row r="790" spans="1:6">
      <c r="A790" s="768"/>
      <c r="B790" s="146"/>
      <c r="C790" s="748"/>
      <c r="D790" s="769"/>
      <c r="E790" s="840"/>
      <c r="F790" s="911"/>
    </row>
    <row r="791" spans="1:6" ht="63.75">
      <c r="A791" s="768" t="s">
        <v>336</v>
      </c>
      <c r="B791" s="146" t="s">
        <v>335</v>
      </c>
      <c r="C791" s="748"/>
      <c r="D791" s="769"/>
      <c r="E791" s="840"/>
      <c r="F791" s="911"/>
    </row>
    <row r="792" spans="1:6">
      <c r="A792" s="784"/>
      <c r="B792" s="146"/>
      <c r="C792" s="748">
        <v>12</v>
      </c>
      <c r="D792" s="769" t="s">
        <v>113</v>
      </c>
      <c r="E792" s="846"/>
      <c r="F792" s="911">
        <f t="shared" si="22"/>
        <v>0</v>
      </c>
    </row>
    <row r="793" spans="1:6">
      <c r="A793" s="784"/>
      <c r="B793" s="146"/>
      <c r="C793" s="748"/>
      <c r="D793" s="769"/>
      <c r="E793" s="845"/>
      <c r="F793" s="911"/>
    </row>
    <row r="794" spans="1:6" ht="38.25">
      <c r="A794" s="768" t="s">
        <v>334</v>
      </c>
      <c r="B794" s="146" t="s">
        <v>333</v>
      </c>
      <c r="C794" s="748"/>
      <c r="D794" s="769"/>
      <c r="E794" s="840"/>
      <c r="F794" s="911"/>
    </row>
    <row r="795" spans="1:6">
      <c r="A795" s="768"/>
      <c r="B795" s="146"/>
      <c r="C795" s="748">
        <v>4</v>
      </c>
      <c r="D795" s="769" t="s">
        <v>113</v>
      </c>
      <c r="E795" s="846"/>
      <c r="F795" s="911">
        <f t="shared" si="22"/>
        <v>0</v>
      </c>
    </row>
    <row r="796" spans="1:6">
      <c r="A796" s="784"/>
      <c r="B796" s="322"/>
      <c r="C796" s="748"/>
      <c r="D796" s="769"/>
      <c r="E796" s="845"/>
      <c r="F796" s="911"/>
    </row>
    <row r="797" spans="1:6">
      <c r="A797" s="784"/>
      <c r="B797" s="164" t="s">
        <v>332</v>
      </c>
      <c r="C797" s="748"/>
      <c r="D797" s="769"/>
      <c r="E797" s="845"/>
      <c r="F797" s="911"/>
    </row>
    <row r="798" spans="1:6">
      <c r="A798" s="784"/>
      <c r="B798" s="146"/>
      <c r="C798" s="748"/>
      <c r="D798" s="769"/>
      <c r="E798" s="845"/>
      <c r="F798" s="911"/>
    </row>
    <row r="799" spans="1:6" ht="38.25">
      <c r="A799" s="768" t="s">
        <v>331</v>
      </c>
      <c r="B799" s="146" t="s">
        <v>330</v>
      </c>
      <c r="C799" s="748"/>
      <c r="D799" s="769"/>
      <c r="E799" s="840"/>
      <c r="F799" s="911"/>
    </row>
    <row r="800" spans="1:6">
      <c r="A800" s="784"/>
      <c r="B800" s="146"/>
      <c r="C800" s="748">
        <v>15</v>
      </c>
      <c r="D800" s="769" t="s">
        <v>113</v>
      </c>
      <c r="E800" s="846"/>
      <c r="F800" s="911">
        <f t="shared" si="22"/>
        <v>0</v>
      </c>
    </row>
    <row r="801" spans="1:6">
      <c r="A801" s="784"/>
      <c r="B801" s="146"/>
      <c r="C801" s="748"/>
      <c r="D801" s="769"/>
      <c r="E801" s="845"/>
      <c r="F801" s="911"/>
    </row>
    <row r="802" spans="1:6" ht="51">
      <c r="A802" s="768" t="s">
        <v>329</v>
      </c>
      <c r="B802" s="146" t="s">
        <v>328</v>
      </c>
      <c r="C802" s="748"/>
      <c r="D802" s="769"/>
      <c r="E802" s="840"/>
      <c r="F802" s="911"/>
    </row>
    <row r="803" spans="1:6">
      <c r="A803" s="768"/>
      <c r="B803" s="146"/>
      <c r="C803" s="748">
        <v>15</v>
      </c>
      <c r="D803" s="769" t="s">
        <v>98</v>
      </c>
      <c r="E803" s="846"/>
      <c r="F803" s="911">
        <f t="shared" si="22"/>
        <v>0</v>
      </c>
    </row>
    <row r="804" spans="1:6">
      <c r="A804" s="768"/>
      <c r="B804" s="146"/>
      <c r="C804" s="748"/>
      <c r="D804" s="769"/>
      <c r="E804" s="840"/>
      <c r="F804" s="911"/>
    </row>
    <row r="805" spans="1:6" ht="63.75">
      <c r="A805" s="768" t="s">
        <v>327</v>
      </c>
      <c r="B805" s="146" t="s">
        <v>326</v>
      </c>
      <c r="C805" s="748"/>
      <c r="D805" s="769"/>
      <c r="E805" s="840"/>
      <c r="F805" s="911"/>
    </row>
    <row r="806" spans="1:6">
      <c r="A806" s="784"/>
      <c r="B806" s="146"/>
      <c r="C806" s="748">
        <v>90</v>
      </c>
      <c r="D806" s="769" t="s">
        <v>113</v>
      </c>
      <c r="E806" s="846"/>
      <c r="F806" s="911">
        <f t="shared" si="22"/>
        <v>0</v>
      </c>
    </row>
    <row r="807" spans="1:6">
      <c r="A807" s="784"/>
      <c r="B807" s="146"/>
      <c r="C807" s="748"/>
      <c r="D807" s="769"/>
      <c r="E807" s="845"/>
      <c r="F807" s="911"/>
    </row>
    <row r="808" spans="1:6" ht="38.25">
      <c r="A808" s="768" t="s">
        <v>325</v>
      </c>
      <c r="B808" s="146" t="s">
        <v>324</v>
      </c>
      <c r="C808" s="748"/>
      <c r="D808" s="769"/>
      <c r="E808" s="840"/>
      <c r="F808" s="911"/>
    </row>
    <row r="809" spans="1:6">
      <c r="A809" s="768"/>
      <c r="B809" s="146"/>
      <c r="C809" s="748">
        <v>30</v>
      </c>
      <c r="D809" s="769" t="s">
        <v>113</v>
      </c>
      <c r="E809" s="846"/>
      <c r="F809" s="911">
        <f t="shared" si="22"/>
        <v>0</v>
      </c>
    </row>
    <row r="810" spans="1:6">
      <c r="A810" s="784"/>
      <c r="B810" s="146"/>
      <c r="C810" s="748"/>
      <c r="D810" s="769"/>
      <c r="E810" s="845"/>
      <c r="F810" s="911"/>
    </row>
    <row r="811" spans="1:6">
      <c r="A811" s="784"/>
      <c r="B811" s="164" t="s">
        <v>323</v>
      </c>
      <c r="C811" s="748"/>
      <c r="D811" s="769"/>
      <c r="E811" s="845"/>
      <c r="F811" s="911"/>
    </row>
    <row r="812" spans="1:6">
      <c r="A812" s="784"/>
      <c r="B812" s="526"/>
      <c r="C812" s="748"/>
      <c r="D812" s="769"/>
      <c r="E812" s="845"/>
      <c r="F812" s="911"/>
    </row>
    <row r="813" spans="1:6" ht="63.75">
      <c r="A813" s="768" t="s">
        <v>322</v>
      </c>
      <c r="B813" s="146" t="s">
        <v>321</v>
      </c>
      <c r="C813" s="748"/>
      <c r="D813" s="769"/>
      <c r="E813" s="840"/>
      <c r="F813" s="911"/>
    </row>
    <row r="814" spans="1:6">
      <c r="A814" s="784"/>
      <c r="B814" s="146"/>
      <c r="C814" s="748">
        <v>4</v>
      </c>
      <c r="D814" s="769" t="s">
        <v>113</v>
      </c>
      <c r="E814" s="846"/>
      <c r="F814" s="911">
        <f t="shared" si="22"/>
        <v>0</v>
      </c>
    </row>
    <row r="815" spans="1:6">
      <c r="A815" s="784"/>
      <c r="B815" s="526"/>
      <c r="C815" s="748"/>
      <c r="D815" s="769"/>
      <c r="E815" s="845"/>
      <c r="F815" s="911"/>
    </row>
    <row r="816" spans="1:6" ht="76.5">
      <c r="A816" s="768" t="s">
        <v>320</v>
      </c>
      <c r="B816" s="146" t="s">
        <v>319</v>
      </c>
      <c r="C816" s="748"/>
      <c r="D816" s="769"/>
      <c r="E816" s="840"/>
      <c r="F816" s="911"/>
    </row>
    <row r="817" spans="1:6">
      <c r="A817" s="784"/>
      <c r="B817" s="146"/>
      <c r="C817" s="748">
        <v>30</v>
      </c>
      <c r="D817" s="769" t="s">
        <v>113</v>
      </c>
      <c r="E817" s="846"/>
      <c r="F817" s="911">
        <f t="shared" si="22"/>
        <v>0</v>
      </c>
    </row>
    <row r="818" spans="1:6">
      <c r="A818" s="784"/>
      <c r="B818" s="526"/>
      <c r="C818" s="748"/>
      <c r="D818" s="769"/>
      <c r="E818" s="845"/>
      <c r="F818" s="911"/>
    </row>
    <row r="819" spans="1:6">
      <c r="A819" s="784"/>
      <c r="B819" s="526" t="s">
        <v>318</v>
      </c>
      <c r="C819" s="748"/>
      <c r="D819" s="769"/>
      <c r="E819" s="845"/>
      <c r="F819" s="911"/>
    </row>
    <row r="820" spans="1:6">
      <c r="A820" s="784"/>
      <c r="B820" s="526"/>
      <c r="C820" s="748"/>
      <c r="D820" s="769"/>
      <c r="E820" s="845"/>
      <c r="F820" s="911"/>
    </row>
    <row r="821" spans="1:6">
      <c r="A821" s="784" t="s">
        <v>317</v>
      </c>
      <c r="B821" s="146" t="s">
        <v>316</v>
      </c>
      <c r="C821" s="748"/>
      <c r="D821" s="769"/>
      <c r="E821" s="840"/>
      <c r="F821" s="911"/>
    </row>
    <row r="822" spans="1:6">
      <c r="A822" s="784"/>
      <c r="B822" s="146"/>
      <c r="C822" s="748">
        <v>44.1</v>
      </c>
      <c r="D822" s="769" t="s">
        <v>98</v>
      </c>
      <c r="E822" s="846"/>
      <c r="F822" s="911">
        <f t="shared" si="22"/>
        <v>0</v>
      </c>
    </row>
    <row r="823" spans="1:6">
      <c r="A823" s="784"/>
      <c r="B823" s="526"/>
      <c r="C823" s="748"/>
      <c r="D823" s="769"/>
      <c r="E823" s="845"/>
      <c r="F823" s="911"/>
    </row>
    <row r="824" spans="1:6" ht="76.5">
      <c r="A824" s="784" t="s">
        <v>315</v>
      </c>
      <c r="B824" s="146" t="s">
        <v>314</v>
      </c>
      <c r="C824" s="748"/>
      <c r="D824" s="769"/>
      <c r="E824" s="840"/>
      <c r="F824" s="911"/>
    </row>
    <row r="825" spans="1:6">
      <c r="A825" s="784"/>
      <c r="B825" s="146"/>
      <c r="C825" s="748">
        <v>29.4</v>
      </c>
      <c r="D825" s="769" t="s">
        <v>98</v>
      </c>
      <c r="E825" s="846"/>
      <c r="F825" s="911">
        <f t="shared" ref="F825:F859" si="23">ROUND(ROUND(C825,2)*ROUND(E825,2),2)</f>
        <v>0</v>
      </c>
    </row>
    <row r="826" spans="1:6">
      <c r="A826" s="784"/>
      <c r="B826" s="526"/>
      <c r="C826" s="748"/>
      <c r="D826" s="769"/>
      <c r="E826" s="845"/>
      <c r="F826" s="911"/>
    </row>
    <row r="827" spans="1:6" ht="25.5">
      <c r="A827" s="784" t="s">
        <v>313</v>
      </c>
      <c r="B827" s="146" t="s">
        <v>312</v>
      </c>
      <c r="C827" s="748"/>
      <c r="D827" s="769"/>
      <c r="E827" s="840"/>
      <c r="F827" s="911"/>
    </row>
    <row r="828" spans="1:6">
      <c r="A828" s="784"/>
      <c r="B828" s="146"/>
      <c r="C828" s="748">
        <v>544</v>
      </c>
      <c r="D828" s="769" t="s">
        <v>113</v>
      </c>
      <c r="E828" s="846"/>
      <c r="F828" s="911">
        <f t="shared" si="23"/>
        <v>0</v>
      </c>
    </row>
    <row r="829" spans="1:6">
      <c r="A829" s="322"/>
      <c r="B829" s="526"/>
      <c r="C829" s="748"/>
      <c r="D829" s="769"/>
      <c r="E829" s="845"/>
      <c r="F829" s="911"/>
    </row>
    <row r="830" spans="1:6">
      <c r="A830" s="784"/>
      <c r="B830" s="164" t="s">
        <v>311</v>
      </c>
      <c r="C830" s="748"/>
      <c r="D830" s="769"/>
      <c r="E830" s="845"/>
      <c r="F830" s="911"/>
    </row>
    <row r="831" spans="1:6">
      <c r="A831" s="784"/>
      <c r="B831" s="526"/>
      <c r="C831" s="748"/>
      <c r="D831" s="769"/>
      <c r="E831" s="845"/>
      <c r="F831" s="911"/>
    </row>
    <row r="832" spans="1:6" ht="63.75">
      <c r="A832" s="784" t="s">
        <v>310</v>
      </c>
      <c r="B832" s="146" t="s">
        <v>1438</v>
      </c>
      <c r="C832" s="748"/>
      <c r="D832" s="769"/>
      <c r="E832" s="840"/>
      <c r="F832" s="911"/>
    </row>
    <row r="833" spans="1:6">
      <c r="A833" s="784"/>
      <c r="B833" s="147">
        <v>39</v>
      </c>
      <c r="C833" s="748">
        <v>90</v>
      </c>
      <c r="D833" s="769" t="s">
        <v>113</v>
      </c>
      <c r="E833" s="846"/>
      <c r="F833" s="911">
        <f t="shared" si="23"/>
        <v>0</v>
      </c>
    </row>
    <row r="834" spans="1:6">
      <c r="A834" s="784"/>
      <c r="B834" s="526"/>
      <c r="C834" s="748"/>
      <c r="D834" s="769"/>
      <c r="E834" s="845"/>
      <c r="F834" s="911"/>
    </row>
    <row r="835" spans="1:6" ht="76.5">
      <c r="A835" s="784" t="s">
        <v>309</v>
      </c>
      <c r="B835" s="146" t="s">
        <v>1439</v>
      </c>
      <c r="C835" s="748"/>
      <c r="D835" s="769"/>
      <c r="E835" s="840"/>
      <c r="F835" s="911"/>
    </row>
    <row r="836" spans="1:6">
      <c r="A836" s="784"/>
      <c r="B836" s="147">
        <v>30</v>
      </c>
      <c r="C836" s="748">
        <v>80</v>
      </c>
      <c r="D836" s="769" t="s">
        <v>113</v>
      </c>
      <c r="E836" s="846"/>
      <c r="F836" s="911">
        <f t="shared" si="23"/>
        <v>0</v>
      </c>
    </row>
    <row r="837" spans="1:6">
      <c r="A837" s="784"/>
      <c r="B837" s="147"/>
      <c r="C837" s="748"/>
      <c r="D837" s="769"/>
      <c r="E837" s="845"/>
      <c r="F837" s="911"/>
    </row>
    <row r="838" spans="1:6" ht="76.5">
      <c r="A838" s="784" t="s">
        <v>308</v>
      </c>
      <c r="B838" s="146" t="s">
        <v>1440</v>
      </c>
      <c r="C838" s="748"/>
      <c r="D838" s="769"/>
      <c r="E838" s="840"/>
      <c r="F838" s="911"/>
    </row>
    <row r="839" spans="1:6">
      <c r="A839" s="784"/>
      <c r="B839" s="147">
        <v>27</v>
      </c>
      <c r="C839" s="748">
        <v>62</v>
      </c>
      <c r="D839" s="769" t="s">
        <v>113</v>
      </c>
      <c r="E839" s="846"/>
      <c r="F839" s="911">
        <f t="shared" si="23"/>
        <v>0</v>
      </c>
    </row>
    <row r="840" spans="1:6">
      <c r="A840" s="784"/>
      <c r="B840" s="147"/>
      <c r="C840" s="748"/>
      <c r="D840" s="769"/>
      <c r="E840" s="845"/>
      <c r="F840" s="911"/>
    </row>
    <row r="841" spans="1:6" ht="51">
      <c r="A841" s="784" t="s">
        <v>307</v>
      </c>
      <c r="B841" s="146" t="s">
        <v>1441</v>
      </c>
      <c r="C841" s="748"/>
      <c r="D841" s="769"/>
      <c r="E841" s="840"/>
      <c r="F841" s="911"/>
    </row>
    <row r="842" spans="1:6">
      <c r="A842" s="784"/>
      <c r="B842" s="147"/>
      <c r="C842" s="748">
        <v>10</v>
      </c>
      <c r="D842" s="769" t="s">
        <v>113</v>
      </c>
      <c r="E842" s="846"/>
      <c r="F842" s="911">
        <f t="shared" si="23"/>
        <v>0</v>
      </c>
    </row>
    <row r="843" spans="1:6">
      <c r="A843" s="784"/>
      <c r="B843" s="526"/>
      <c r="C843" s="748"/>
      <c r="D843" s="769"/>
      <c r="E843" s="845"/>
      <c r="F843" s="911"/>
    </row>
    <row r="844" spans="1:6" ht="63.75">
      <c r="A844" s="784" t="s">
        <v>305</v>
      </c>
      <c r="B844" s="146" t="s">
        <v>1442</v>
      </c>
      <c r="C844" s="748"/>
      <c r="D844" s="769"/>
      <c r="E844" s="840"/>
      <c r="F844" s="911"/>
    </row>
    <row r="845" spans="1:6">
      <c r="B845" s="147">
        <v>120</v>
      </c>
      <c r="C845" s="748">
        <v>200</v>
      </c>
      <c r="D845" s="769" t="s">
        <v>113</v>
      </c>
      <c r="E845" s="846"/>
      <c r="F845" s="911">
        <f t="shared" si="23"/>
        <v>0</v>
      </c>
    </row>
    <row r="846" spans="1:6">
      <c r="B846" s="526"/>
      <c r="C846" s="748"/>
      <c r="D846" s="769"/>
      <c r="E846" s="845"/>
      <c r="F846" s="911"/>
    </row>
    <row r="847" spans="1:6" ht="51">
      <c r="A847" s="784" t="s">
        <v>303</v>
      </c>
      <c r="B847" s="146" t="s">
        <v>1443</v>
      </c>
      <c r="C847" s="748"/>
      <c r="D847" s="769"/>
      <c r="E847" s="840"/>
      <c r="F847" s="911"/>
    </row>
    <row r="848" spans="1:6">
      <c r="A848" s="784"/>
      <c r="B848" s="147">
        <v>51</v>
      </c>
      <c r="C848" s="748">
        <v>102</v>
      </c>
      <c r="D848" s="769" t="s">
        <v>113</v>
      </c>
      <c r="E848" s="846"/>
      <c r="F848" s="911">
        <f t="shared" si="23"/>
        <v>0</v>
      </c>
    </row>
    <row r="849" spans="1:256">
      <c r="A849" s="784"/>
      <c r="B849" s="526"/>
      <c r="C849" s="748"/>
      <c r="D849" s="769"/>
      <c r="E849" s="845"/>
      <c r="F849" s="911"/>
    </row>
    <row r="850" spans="1:256">
      <c r="A850" s="784"/>
      <c r="B850" s="526" t="s">
        <v>306</v>
      </c>
      <c r="C850" s="748"/>
      <c r="D850" s="769"/>
      <c r="E850" s="845"/>
      <c r="F850" s="911"/>
    </row>
    <row r="851" spans="1:256">
      <c r="A851" s="784"/>
      <c r="B851" s="526"/>
      <c r="C851" s="748"/>
      <c r="D851" s="769"/>
      <c r="E851" s="845"/>
      <c r="F851" s="911"/>
    </row>
    <row r="852" spans="1:256" ht="76.5">
      <c r="A852" s="784" t="s">
        <v>305</v>
      </c>
      <c r="B852" s="146" t="s">
        <v>304</v>
      </c>
      <c r="C852" s="748"/>
      <c r="D852" s="769"/>
      <c r="E852" s="840"/>
      <c r="F852" s="911"/>
    </row>
    <row r="853" spans="1:256">
      <c r="A853" s="784"/>
      <c r="B853" s="146"/>
      <c r="C853" s="748">
        <f>(B848+B845+B839+B836+B833)*2</f>
        <v>534</v>
      </c>
      <c r="D853" s="769" t="s">
        <v>100</v>
      </c>
      <c r="E853" s="846"/>
      <c r="F853" s="911">
        <f t="shared" si="23"/>
        <v>0</v>
      </c>
    </row>
    <row r="854" spans="1:256">
      <c r="A854" s="784"/>
      <c r="B854" s="526"/>
      <c r="C854" s="748"/>
      <c r="D854" s="769"/>
      <c r="E854" s="845"/>
      <c r="F854" s="911"/>
    </row>
    <row r="855" spans="1:256">
      <c r="A855" s="784" t="s">
        <v>303</v>
      </c>
      <c r="B855" s="146" t="s">
        <v>302</v>
      </c>
      <c r="C855" s="748"/>
      <c r="D855" s="769"/>
      <c r="E855" s="840"/>
      <c r="F855" s="911"/>
    </row>
    <row r="856" spans="1:256">
      <c r="A856" s="784"/>
      <c r="B856" s="146"/>
      <c r="C856" s="748">
        <f>B833+B836+B839+B845+B848</f>
        <v>267</v>
      </c>
      <c r="D856" s="769" t="s">
        <v>100</v>
      </c>
      <c r="E856" s="846"/>
      <c r="F856" s="911">
        <f t="shared" si="23"/>
        <v>0</v>
      </c>
    </row>
    <row r="857" spans="1:256">
      <c r="A857" s="784"/>
      <c r="B857" s="526"/>
      <c r="C857" s="748"/>
      <c r="D857" s="769"/>
      <c r="E857" s="845"/>
      <c r="F857" s="911"/>
    </row>
    <row r="858" spans="1:256" ht="38.25">
      <c r="A858" s="784" t="s">
        <v>301</v>
      </c>
      <c r="B858" s="146" t="s">
        <v>300</v>
      </c>
      <c r="C858" s="748"/>
      <c r="D858" s="769"/>
      <c r="E858" s="840"/>
      <c r="F858" s="911"/>
    </row>
    <row r="859" spans="1:256">
      <c r="A859" s="784"/>
      <c r="B859" s="146"/>
      <c r="C859" s="748">
        <f>B833+B836+B839+B845+B848</f>
        <v>267</v>
      </c>
      <c r="D859" s="769" t="s">
        <v>100</v>
      </c>
      <c r="E859" s="846"/>
      <c r="F859" s="911">
        <f t="shared" si="23"/>
        <v>0</v>
      </c>
    </row>
    <row r="860" spans="1:256">
      <c r="A860" s="784"/>
      <c r="B860" s="526"/>
      <c r="C860" s="748"/>
      <c r="D860" s="769"/>
      <c r="E860" s="845"/>
      <c r="F860" s="908"/>
    </row>
    <row r="861" spans="1:256" s="142" customFormat="1">
      <c r="A861" s="786" t="s">
        <v>103</v>
      </c>
      <c r="B861" s="526" t="s">
        <v>299</v>
      </c>
      <c r="C861" s="787"/>
      <c r="D861" s="788"/>
      <c r="E861" s="847"/>
      <c r="F861" s="915">
        <f>SUM(F758:F860)</f>
        <v>0</v>
      </c>
      <c r="IT861" s="144"/>
      <c r="IU861" s="132"/>
      <c r="IV861" s="132"/>
    </row>
    <row r="862" spans="1:256">
      <c r="A862" s="140"/>
      <c r="C862" s="139"/>
      <c r="D862" s="139"/>
      <c r="E862" s="845"/>
    </row>
    <row r="863" spans="1:256" s="143" customFormat="1">
      <c r="A863" s="140"/>
      <c r="B863" s="136"/>
      <c r="C863" s="139"/>
      <c r="D863" s="139"/>
      <c r="E863" s="845"/>
      <c r="F863" s="918"/>
      <c r="IU863" s="132"/>
      <c r="IV863" s="132"/>
    </row>
    <row r="864" spans="1:256">
      <c r="A864" s="140"/>
      <c r="C864" s="139"/>
      <c r="D864" s="139"/>
      <c r="E864" s="845"/>
    </row>
    <row r="865" spans="1:256">
      <c r="A865" s="140"/>
      <c r="C865" s="139"/>
      <c r="D865" s="139"/>
      <c r="E865" s="845"/>
    </row>
    <row r="866" spans="1:256" s="142" customFormat="1">
      <c r="A866" s="140"/>
      <c r="B866" s="136"/>
      <c r="C866" s="139"/>
      <c r="D866" s="139"/>
      <c r="E866" s="845"/>
      <c r="F866" s="918"/>
      <c r="IU866" s="132"/>
      <c r="IV866" s="132"/>
    </row>
    <row r="867" spans="1:256">
      <c r="A867" s="140"/>
      <c r="C867" s="139"/>
      <c r="D867" s="139"/>
      <c r="E867" s="845"/>
    </row>
    <row r="868" spans="1:256">
      <c r="A868" s="140"/>
      <c r="C868" s="139"/>
      <c r="D868" s="139"/>
      <c r="E868" s="845"/>
    </row>
    <row r="869" spans="1:256">
      <c r="A869" s="140"/>
      <c r="C869" s="139"/>
      <c r="D869" s="139"/>
      <c r="E869" s="845"/>
    </row>
    <row r="870" spans="1:256">
      <c r="A870" s="140"/>
      <c r="C870" s="139"/>
      <c r="D870" s="139"/>
      <c r="E870" s="845"/>
    </row>
    <row r="871" spans="1:256">
      <c r="A871" s="140"/>
      <c r="C871" s="141"/>
      <c r="D871" s="139"/>
      <c r="E871" s="845"/>
    </row>
    <row r="872" spans="1:256">
      <c r="A872" s="140"/>
      <c r="C872" s="139"/>
      <c r="D872" s="139"/>
      <c r="E872" s="845"/>
    </row>
    <row r="873" spans="1:256">
      <c r="A873" s="140"/>
      <c r="C873" s="139"/>
      <c r="D873" s="139"/>
      <c r="E873" s="845"/>
    </row>
    <row r="874" spans="1:256">
      <c r="D874" s="133"/>
    </row>
    <row r="875" spans="1:256">
      <c r="D875" s="133"/>
    </row>
    <row r="876" spans="1:256">
      <c r="D876" s="133"/>
    </row>
    <row r="877" spans="1:256">
      <c r="D877" s="133"/>
    </row>
    <row r="878" spans="1:256">
      <c r="D878" s="133"/>
    </row>
    <row r="879" spans="1:256">
      <c r="D879" s="133"/>
    </row>
    <row r="880" spans="1:256">
      <c r="D880" s="133"/>
    </row>
    <row r="881" spans="2:6">
      <c r="D881" s="133"/>
    </row>
    <row r="882" spans="2:6">
      <c r="B882" s="138"/>
      <c r="D882" s="133"/>
      <c r="F882" s="919"/>
    </row>
    <row r="883" spans="2:6">
      <c r="D883" s="133"/>
    </row>
    <row r="884" spans="2:6">
      <c r="D884" s="133"/>
    </row>
    <row r="885" spans="2:6">
      <c r="D885" s="133"/>
    </row>
    <row r="886" spans="2:6">
      <c r="D886" s="133"/>
    </row>
    <row r="887" spans="2:6">
      <c r="D887" s="133"/>
    </row>
    <row r="888" spans="2:6">
      <c r="D888" s="133"/>
    </row>
    <row r="889" spans="2:6">
      <c r="D889" s="133"/>
    </row>
    <row r="890" spans="2:6">
      <c r="D890" s="133"/>
    </row>
    <row r="891" spans="2:6">
      <c r="D891" s="133"/>
    </row>
    <row r="892" spans="2:6">
      <c r="D892" s="133"/>
    </row>
    <row r="893" spans="2:6">
      <c r="D893" s="133"/>
    </row>
    <row r="894" spans="2:6">
      <c r="D894" s="133"/>
    </row>
    <row r="895" spans="2:6">
      <c r="D895" s="133"/>
    </row>
    <row r="896" spans="2:6">
      <c r="D896" s="133"/>
    </row>
    <row r="897" spans="4:4">
      <c r="D897" s="133"/>
    </row>
    <row r="898" spans="4:4">
      <c r="D898" s="133"/>
    </row>
    <row r="899" spans="4:4">
      <c r="D899" s="133"/>
    </row>
    <row r="900" spans="4:4">
      <c r="D900" s="133"/>
    </row>
    <row r="901" spans="4:4">
      <c r="D901" s="133"/>
    </row>
    <row r="902" spans="4:4">
      <c r="D902" s="133"/>
    </row>
    <row r="903" spans="4:4">
      <c r="D903" s="133"/>
    </row>
    <row r="904" spans="4:4">
      <c r="D904" s="133"/>
    </row>
    <row r="905" spans="4:4">
      <c r="D905" s="133"/>
    </row>
    <row r="906" spans="4:4">
      <c r="D906" s="133"/>
    </row>
    <row r="907" spans="4:4">
      <c r="D907" s="133"/>
    </row>
    <row r="908" spans="4:4">
      <c r="D908" s="133"/>
    </row>
    <row r="909" spans="4:4">
      <c r="D909" s="133"/>
    </row>
    <row r="910" spans="4:4">
      <c r="D910" s="133"/>
    </row>
    <row r="911" spans="4:4">
      <c r="D911" s="133"/>
    </row>
    <row r="912" spans="4:4">
      <c r="D912" s="133"/>
    </row>
    <row r="913" spans="4:4">
      <c r="D913" s="133"/>
    </row>
    <row r="914" spans="4:4">
      <c r="D914" s="133"/>
    </row>
    <row r="915" spans="4:4">
      <c r="D915" s="133"/>
    </row>
    <row r="916" spans="4:4">
      <c r="D916" s="133"/>
    </row>
    <row r="917" spans="4:4">
      <c r="D917" s="133"/>
    </row>
    <row r="918" spans="4:4">
      <c r="D918" s="133"/>
    </row>
    <row r="919" spans="4:4">
      <c r="D919" s="133"/>
    </row>
    <row r="920" spans="4:4">
      <c r="D920" s="133"/>
    </row>
    <row r="921" spans="4:4">
      <c r="D921" s="133"/>
    </row>
    <row r="922" spans="4:4">
      <c r="D922" s="133"/>
    </row>
    <row r="923" spans="4:4">
      <c r="D923" s="133"/>
    </row>
    <row r="924" spans="4:4">
      <c r="D924" s="133"/>
    </row>
    <row r="925" spans="4:4">
      <c r="D925" s="133"/>
    </row>
    <row r="926" spans="4:4">
      <c r="D926" s="133"/>
    </row>
    <row r="927" spans="4:4">
      <c r="D927" s="133"/>
    </row>
    <row r="928" spans="4:4">
      <c r="D928" s="133"/>
    </row>
    <row r="929" spans="4:4">
      <c r="D929" s="133"/>
    </row>
    <row r="930" spans="4:4">
      <c r="D930" s="133"/>
    </row>
    <row r="931" spans="4:4">
      <c r="D931" s="133"/>
    </row>
    <row r="932" spans="4:4">
      <c r="D932" s="133"/>
    </row>
    <row r="933" spans="4:4">
      <c r="D933" s="133"/>
    </row>
    <row r="934" spans="4:4">
      <c r="D934" s="133"/>
    </row>
    <row r="935" spans="4:4">
      <c r="D935" s="133"/>
    </row>
    <row r="936" spans="4:4">
      <c r="D936" s="133"/>
    </row>
    <row r="937" spans="4:4">
      <c r="D937" s="133"/>
    </row>
    <row r="938" spans="4:4">
      <c r="D938" s="133"/>
    </row>
    <row r="939" spans="4:4">
      <c r="D939" s="133"/>
    </row>
    <row r="940" spans="4:4">
      <c r="D940" s="133"/>
    </row>
    <row r="941" spans="4:4">
      <c r="D941" s="133"/>
    </row>
    <row r="942" spans="4:4">
      <c r="D942" s="133"/>
    </row>
    <row r="943" spans="4:4">
      <c r="D943" s="133"/>
    </row>
    <row r="944" spans="4:4">
      <c r="D944" s="133"/>
    </row>
    <row r="945" spans="4:4">
      <c r="D945" s="133"/>
    </row>
    <row r="946" spans="4:4">
      <c r="D946" s="133"/>
    </row>
    <row r="947" spans="4:4">
      <c r="D947" s="133"/>
    </row>
    <row r="948" spans="4:4">
      <c r="D948" s="133"/>
    </row>
    <row r="949" spans="4:4">
      <c r="D949" s="133"/>
    </row>
    <row r="950" spans="4:4">
      <c r="D950" s="133"/>
    </row>
    <row r="951" spans="4:4">
      <c r="D951" s="133"/>
    </row>
    <row r="952" spans="4:4">
      <c r="D952" s="133"/>
    </row>
    <row r="953" spans="4:4">
      <c r="D953" s="133"/>
    </row>
    <row r="954" spans="4:4">
      <c r="D954" s="133"/>
    </row>
    <row r="955" spans="4:4">
      <c r="D955" s="133"/>
    </row>
    <row r="956" spans="4:4">
      <c r="D956" s="133"/>
    </row>
    <row r="957" spans="4:4">
      <c r="D957" s="133"/>
    </row>
    <row r="958" spans="4:4">
      <c r="D958" s="133"/>
    </row>
    <row r="959" spans="4:4">
      <c r="D959" s="133"/>
    </row>
    <row r="960" spans="4:4">
      <c r="D960" s="133"/>
    </row>
    <row r="961" spans="4:4">
      <c r="D961" s="133"/>
    </row>
    <row r="962" spans="4:4">
      <c r="D962" s="133"/>
    </row>
    <row r="963" spans="4:4">
      <c r="D963" s="133"/>
    </row>
    <row r="964" spans="4:4">
      <c r="D964" s="133"/>
    </row>
    <row r="965" spans="4:4">
      <c r="D965" s="133"/>
    </row>
    <row r="966" spans="4:4">
      <c r="D966" s="133"/>
    </row>
    <row r="967" spans="4:4">
      <c r="D967" s="133"/>
    </row>
    <row r="968" spans="4:4">
      <c r="D968" s="133"/>
    </row>
    <row r="969" spans="4:4">
      <c r="D969" s="133"/>
    </row>
    <row r="970" spans="4:4">
      <c r="D970" s="133"/>
    </row>
    <row r="971" spans="4:4">
      <c r="D971" s="133"/>
    </row>
    <row r="972" spans="4:4">
      <c r="D972" s="133"/>
    </row>
    <row r="973" spans="4:4">
      <c r="D973" s="133"/>
    </row>
    <row r="974" spans="4:4">
      <c r="D974" s="133"/>
    </row>
    <row r="975" spans="4:4">
      <c r="D975" s="133"/>
    </row>
    <row r="976" spans="4:4">
      <c r="D976" s="133"/>
    </row>
    <row r="977" spans="4:4">
      <c r="D977" s="133"/>
    </row>
    <row r="978" spans="4:4">
      <c r="D978" s="133"/>
    </row>
    <row r="979" spans="4:4">
      <c r="D979" s="133"/>
    </row>
    <row r="980" spans="4:4">
      <c r="D980" s="133"/>
    </row>
    <row r="981" spans="4:4">
      <c r="D981" s="133"/>
    </row>
    <row r="982" spans="4:4">
      <c r="D982" s="133"/>
    </row>
    <row r="983" spans="4:4">
      <c r="D983" s="133"/>
    </row>
    <row r="984" spans="4:4">
      <c r="D984" s="133"/>
    </row>
    <row r="985" spans="4:4">
      <c r="D985" s="133"/>
    </row>
    <row r="986" spans="4:4">
      <c r="D986" s="133"/>
    </row>
    <row r="987" spans="4:4">
      <c r="D987" s="133"/>
    </row>
    <row r="988" spans="4:4">
      <c r="D988" s="133"/>
    </row>
    <row r="989" spans="4:4">
      <c r="D989" s="133"/>
    </row>
  </sheetData>
  <sheetProtection algorithmName="SHA-512" hashValue="Z+xqwsr55fYN95Wp7essKGgg85QI4hrSGRexqowK/04ierPGXCTKyCdQyWAvRDlcjx7U6BnnXtfmGO8kqi/6nQ==" saltValue="P07RmjgjrFhSbOb0PZMDXA==" spinCount="100000" sheet="1" objects="1" scenarios="1" formatCells="0" formatColumns="0" formatRows="0"/>
  <pageMargins left="1.0631944444444446" right="0.39374999999999999" top="1.0534722222222224" bottom="0.78819444444444453" header="0.51180555555555562" footer="0.51180555555555562"/>
  <pageSetup paperSize="9" fitToHeight="0" orientation="portrait" useFirstPageNumber="1" horizontalDpi="300" verticalDpi="300" r:id="rId1"/>
  <headerFooter alignWithMargins="0">
    <oddHeader>&amp;C&amp;12ZUNANJA UREDITEV</oddHeader>
    <oddFooter>&amp;RStran &amp;P od &amp;N</oddFooter>
  </headerFooter>
  <rowBreaks count="29" manualBreakCount="29">
    <brk id="42" max="5" man="1"/>
    <brk id="67" max="5" man="1"/>
    <brk id="106" max="5" man="1"/>
    <brk id="138" max="5" man="1"/>
    <brk id="148" max="5" man="1"/>
    <brk id="182" max="5" man="1"/>
    <brk id="221" max="5" man="1"/>
    <brk id="239" max="5" man="1"/>
    <brk id="251" max="5" man="1"/>
    <brk id="271" max="5" man="1"/>
    <brk id="298" max="5" man="1"/>
    <brk id="326" max="5" man="1"/>
    <brk id="357" max="5" man="1"/>
    <brk id="392" max="5" man="1"/>
    <brk id="420" max="5" man="1"/>
    <brk id="452" max="5" man="1"/>
    <brk id="483" max="5" man="1"/>
    <brk id="509" max="5" man="1"/>
    <brk id="540" max="5" man="1"/>
    <brk id="571" max="5" man="1"/>
    <brk id="596" max="5" man="1"/>
    <brk id="627" max="5" man="1"/>
    <brk id="690" max="5" man="1"/>
    <brk id="711" max="5" man="1"/>
    <brk id="733" max="5" man="1"/>
    <brk id="754" max="5" man="1"/>
    <brk id="790" max="5" man="1"/>
    <brk id="813" max="5" man="1"/>
    <brk id="842"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3"/>
  <sheetViews>
    <sheetView view="pageBreakPreview" zoomScale="120" zoomScaleNormal="120" zoomScaleSheetLayoutView="120" workbookViewId="0">
      <selection activeCell="B8" sqref="B8"/>
    </sheetView>
  </sheetViews>
  <sheetFormatPr defaultColWidth="7.875" defaultRowHeight="11.25"/>
  <cols>
    <col min="1" max="1" width="5.375" style="112" customWidth="1"/>
    <col min="2" max="2" width="36" style="111" customWidth="1"/>
    <col min="3" max="3" width="21" style="110" customWidth="1"/>
    <col min="4" max="6" width="8.875" style="109" customWidth="1"/>
    <col min="7" max="16384" width="7.875" style="109"/>
  </cols>
  <sheetData>
    <row r="1" spans="1:4" s="129" customFormat="1" ht="20.100000000000001" customHeight="1">
      <c r="A1" s="264" t="s">
        <v>242</v>
      </c>
      <c r="B1" s="263" t="s">
        <v>243</v>
      </c>
      <c r="C1" s="262" t="s">
        <v>244</v>
      </c>
    </row>
    <row r="2" spans="1:4" s="118" customFormat="1" ht="15.95" customHeight="1">
      <c r="A2" s="120"/>
      <c r="B2" s="119"/>
      <c r="D2" s="126"/>
    </row>
    <row r="3" spans="1:4" s="118" customFormat="1" ht="15.95" customHeight="1">
      <c r="A3" s="261" t="s">
        <v>964</v>
      </c>
      <c r="B3" s="255" t="s">
        <v>8</v>
      </c>
      <c r="C3" s="260"/>
      <c r="D3" s="126"/>
    </row>
    <row r="4" spans="1:4" s="118" customFormat="1" ht="15.95" customHeight="1">
      <c r="A4" s="257" t="s">
        <v>89</v>
      </c>
      <c r="B4" s="259" t="s">
        <v>245</v>
      </c>
      <c r="C4" s="258">
        <f>Padavinska!F24</f>
        <v>0</v>
      </c>
    </row>
    <row r="5" spans="1:4" s="118" customFormat="1" ht="15.95" customHeight="1">
      <c r="A5" s="257" t="s">
        <v>91</v>
      </c>
      <c r="B5" s="259" t="s">
        <v>12</v>
      </c>
      <c r="C5" s="258">
        <f>Padavinska!F106</f>
        <v>0</v>
      </c>
    </row>
    <row r="6" spans="1:4" s="118" customFormat="1" ht="15.95" customHeight="1">
      <c r="A6" s="257" t="s">
        <v>96</v>
      </c>
      <c r="B6" s="259" t="s">
        <v>248</v>
      </c>
      <c r="C6" s="258">
        <f>Padavinska!F125</f>
        <v>0</v>
      </c>
    </row>
    <row r="7" spans="1:4" s="118" customFormat="1" ht="15.95" customHeight="1">
      <c r="A7" s="257" t="s">
        <v>101</v>
      </c>
      <c r="B7" s="259" t="s">
        <v>963</v>
      </c>
      <c r="C7" s="258">
        <f>Padavinska!F178</f>
        <v>0</v>
      </c>
    </row>
    <row r="8" spans="1:4" s="118" customFormat="1" ht="15.95" customHeight="1">
      <c r="A8" s="257" t="s">
        <v>102</v>
      </c>
      <c r="B8" s="259" t="s">
        <v>250</v>
      </c>
      <c r="C8" s="258">
        <f>Padavinska!F205</f>
        <v>0</v>
      </c>
    </row>
    <row r="9" spans="1:4" s="118" customFormat="1" ht="15.95" customHeight="1">
      <c r="A9" s="257"/>
      <c r="B9" s="132"/>
      <c r="C9" s="253"/>
    </row>
    <row r="10" spans="1:4" s="118" customFormat="1" ht="15.95" customHeight="1">
      <c r="A10" s="256"/>
      <c r="B10" s="255" t="s">
        <v>251</v>
      </c>
      <c r="C10" s="254">
        <f>SUM(C4:C9)</f>
        <v>0</v>
      </c>
    </row>
    <row r="11" spans="1:4" s="118" customFormat="1">
      <c r="A11" s="120"/>
      <c r="B11" s="119"/>
      <c r="C11" s="253"/>
    </row>
    <row r="12" spans="1:4" s="118" customFormat="1" ht="15.95" customHeight="1">
      <c r="A12" s="252"/>
      <c r="B12" s="251" t="s">
        <v>252</v>
      </c>
      <c r="C12" s="250">
        <f>C10*0.22</f>
        <v>0</v>
      </c>
    </row>
    <row r="13" spans="1:4" s="118" customFormat="1" ht="15.95" customHeight="1" thickBot="1">
      <c r="A13" s="249"/>
      <c r="B13" s="248" t="s">
        <v>251</v>
      </c>
      <c r="C13" s="247">
        <f>SUM(C10,C12)</f>
        <v>0</v>
      </c>
    </row>
    <row r="14" spans="1:4" s="118" customFormat="1" ht="12" thickTop="1">
      <c r="A14" s="120"/>
      <c r="B14" s="119"/>
    </row>
    <row r="15" spans="1:4" s="118" customFormat="1">
      <c r="A15" s="120"/>
      <c r="B15" s="119"/>
    </row>
    <row r="16" spans="1:4" s="118" customFormat="1">
      <c r="A16" s="120"/>
      <c r="B16" s="119"/>
    </row>
    <row r="17" spans="1:2" s="118" customFormat="1">
      <c r="A17" s="120"/>
      <c r="B17" s="119"/>
    </row>
    <row r="18" spans="1:2" s="118" customFormat="1">
      <c r="A18" s="120"/>
      <c r="B18" s="119"/>
    </row>
    <row r="19" spans="1:2" s="118" customFormat="1">
      <c r="A19" s="120"/>
      <c r="B19" s="119"/>
    </row>
    <row r="20" spans="1:2" s="118" customFormat="1">
      <c r="A20" s="120"/>
      <c r="B20" s="119"/>
    </row>
    <row r="21" spans="1:2" s="118" customFormat="1">
      <c r="A21" s="120"/>
      <c r="B21" s="119"/>
    </row>
    <row r="22" spans="1:2" s="115" customFormat="1">
      <c r="A22" s="117"/>
      <c r="B22" s="116"/>
    </row>
    <row r="23" spans="1:2" s="115" customFormat="1">
      <c r="A23" s="117"/>
      <c r="B23" s="116"/>
    </row>
    <row r="24" spans="1:2" s="115" customFormat="1">
      <c r="A24" s="117"/>
      <c r="B24" s="116"/>
    </row>
    <row r="25" spans="1:2" s="115" customFormat="1">
      <c r="A25" s="117"/>
      <c r="B25" s="116"/>
    </row>
    <row r="26" spans="1:2" s="115" customFormat="1">
      <c r="A26" s="117"/>
      <c r="B26" s="116"/>
    </row>
    <row r="27" spans="1:2" s="115" customFormat="1">
      <c r="A27" s="117"/>
      <c r="B27" s="116"/>
    </row>
    <row r="28" spans="1:2" s="115" customFormat="1">
      <c r="A28" s="117"/>
      <c r="B28" s="116"/>
    </row>
    <row r="29" spans="1:2" s="115" customFormat="1">
      <c r="A29" s="117"/>
      <c r="B29" s="116"/>
    </row>
    <row r="30" spans="1:2" s="115" customFormat="1">
      <c r="A30" s="117"/>
      <c r="B30" s="116"/>
    </row>
    <row r="31" spans="1:2" s="115" customFormat="1">
      <c r="A31" s="117"/>
      <c r="B31" s="116"/>
    </row>
    <row r="32" spans="1:2" s="115" customFormat="1">
      <c r="A32" s="117"/>
      <c r="B32" s="116"/>
    </row>
    <row r="33" spans="1:4" s="115" customFormat="1">
      <c r="A33" s="117"/>
      <c r="B33" s="116"/>
    </row>
    <row r="34" spans="1:4" s="115" customFormat="1">
      <c r="A34" s="117"/>
      <c r="B34" s="116"/>
    </row>
    <row r="35" spans="1:4">
      <c r="A35" s="117"/>
      <c r="B35" s="116"/>
      <c r="C35" s="115"/>
      <c r="D35" s="115"/>
    </row>
    <row r="36" spans="1:4">
      <c r="A36" s="114"/>
      <c r="B36" s="113"/>
      <c r="C36" s="109"/>
    </row>
    <row r="37" spans="1:4">
      <c r="A37" s="114"/>
      <c r="B37" s="113"/>
      <c r="C37" s="109"/>
    </row>
    <row r="38" spans="1:4">
      <c r="A38" s="114"/>
      <c r="B38" s="113"/>
      <c r="C38" s="109"/>
    </row>
    <row r="39" spans="1:4">
      <c r="A39" s="114"/>
      <c r="B39" s="113"/>
      <c r="C39" s="109"/>
    </row>
    <row r="40" spans="1:4">
      <c r="A40" s="114"/>
      <c r="B40" s="113"/>
      <c r="C40" s="109"/>
    </row>
    <row r="41" spans="1:4">
      <c r="A41" s="114"/>
      <c r="B41" s="113"/>
      <c r="C41" s="109"/>
    </row>
    <row r="42" spans="1:4">
      <c r="A42" s="114"/>
      <c r="B42" s="113"/>
      <c r="C42" s="109"/>
    </row>
    <row r="43" spans="1:4">
      <c r="A43" s="114"/>
      <c r="B43" s="113"/>
      <c r="C43" s="109"/>
    </row>
    <row r="44" spans="1:4">
      <c r="A44" s="114"/>
      <c r="B44" s="113"/>
      <c r="C44" s="109"/>
    </row>
    <row r="45" spans="1:4">
      <c r="A45" s="114"/>
      <c r="B45" s="113"/>
      <c r="C45" s="109"/>
    </row>
    <row r="46" spans="1:4">
      <c r="A46" s="114"/>
      <c r="B46" s="113"/>
      <c r="C46" s="109"/>
    </row>
    <row r="47" spans="1:4">
      <c r="A47" s="114"/>
      <c r="B47" s="113"/>
      <c r="C47" s="109"/>
    </row>
    <row r="48" spans="1:4">
      <c r="A48" s="114"/>
      <c r="B48" s="113"/>
      <c r="C48" s="109"/>
    </row>
    <row r="49" spans="1:3">
      <c r="A49" s="114"/>
      <c r="B49" s="113"/>
      <c r="C49" s="109"/>
    </row>
    <row r="50" spans="1:3">
      <c r="A50" s="114"/>
      <c r="B50" s="113"/>
      <c r="C50" s="109"/>
    </row>
    <row r="51" spans="1:3">
      <c r="A51" s="114"/>
      <c r="B51" s="113"/>
      <c r="C51" s="109"/>
    </row>
    <row r="52" spans="1:3">
      <c r="A52" s="114"/>
      <c r="B52" s="113"/>
      <c r="C52" s="109"/>
    </row>
    <row r="53" spans="1:3">
      <c r="A53" s="114"/>
      <c r="B53" s="113"/>
      <c r="C53" s="109"/>
    </row>
    <row r="54" spans="1:3">
      <c r="A54" s="114"/>
      <c r="B54" s="113"/>
      <c r="C54" s="109"/>
    </row>
    <row r="55" spans="1:3">
      <c r="A55" s="114"/>
      <c r="B55" s="113"/>
      <c r="C55" s="109"/>
    </row>
    <row r="56" spans="1:3">
      <c r="A56" s="114"/>
      <c r="B56" s="113"/>
      <c r="C56" s="109"/>
    </row>
    <row r="57" spans="1:3">
      <c r="A57" s="114"/>
      <c r="B57" s="113"/>
      <c r="C57" s="109"/>
    </row>
    <row r="58" spans="1:3">
      <c r="A58" s="114"/>
      <c r="B58" s="113"/>
      <c r="C58" s="109"/>
    </row>
    <row r="59" spans="1:3">
      <c r="A59" s="114"/>
      <c r="B59" s="113"/>
      <c r="C59" s="109"/>
    </row>
    <row r="60" spans="1:3">
      <c r="A60" s="114"/>
      <c r="B60" s="113"/>
      <c r="C60" s="109"/>
    </row>
    <row r="61" spans="1:3">
      <c r="A61" s="114"/>
      <c r="B61" s="113"/>
      <c r="C61" s="109"/>
    </row>
    <row r="62" spans="1:3">
      <c r="A62" s="114"/>
      <c r="B62" s="113"/>
      <c r="C62" s="109"/>
    </row>
    <row r="63" spans="1:3">
      <c r="A63" s="114"/>
      <c r="B63" s="113"/>
      <c r="C63" s="109"/>
    </row>
    <row r="64" spans="1:3">
      <c r="A64" s="114"/>
      <c r="B64" s="113"/>
      <c r="C64" s="109"/>
    </row>
    <row r="65" spans="1:4">
      <c r="A65" s="114"/>
      <c r="B65" s="113"/>
      <c r="C65" s="109"/>
    </row>
    <row r="66" spans="1:4">
      <c r="A66" s="114"/>
      <c r="B66" s="113"/>
      <c r="C66" s="109"/>
    </row>
    <row r="67" spans="1:4">
      <c r="A67" s="114"/>
      <c r="B67" s="113"/>
      <c r="C67" s="109"/>
    </row>
    <row r="68" spans="1:4">
      <c r="A68" s="114"/>
      <c r="B68" s="113"/>
      <c r="C68" s="109"/>
    </row>
    <row r="69" spans="1:4">
      <c r="A69" s="114"/>
      <c r="B69" s="113"/>
      <c r="C69" s="109"/>
    </row>
    <row r="70" spans="1:4">
      <c r="A70" s="114"/>
      <c r="B70" s="113"/>
      <c r="C70" s="109"/>
    </row>
    <row r="71" spans="1:4">
      <c r="A71" s="114"/>
      <c r="B71" s="113"/>
      <c r="C71" s="109"/>
    </row>
    <row r="72" spans="1:4">
      <c r="A72" s="114"/>
      <c r="B72" s="113"/>
      <c r="C72" s="109"/>
    </row>
    <row r="73" spans="1:4">
      <c r="A73" s="114"/>
      <c r="B73" s="113"/>
      <c r="C73" s="109"/>
    </row>
    <row r="74" spans="1:4">
      <c r="A74" s="114"/>
      <c r="B74" s="113"/>
      <c r="C74" s="109"/>
    </row>
    <row r="75" spans="1:4">
      <c r="A75" s="114"/>
      <c r="B75" s="113"/>
      <c r="C75" s="109"/>
      <c r="D75" s="109">
        <f>D10+D73</f>
        <v>0</v>
      </c>
    </row>
    <row r="76" spans="1:4">
      <c r="A76" s="114"/>
      <c r="B76" s="113"/>
      <c r="C76" s="109"/>
    </row>
    <row r="77" spans="1:4">
      <c r="A77" s="114"/>
      <c r="B77" s="113"/>
      <c r="C77" s="109"/>
    </row>
    <row r="78" spans="1:4">
      <c r="A78" s="114"/>
      <c r="B78" s="113"/>
      <c r="C78" s="109"/>
    </row>
    <row r="79" spans="1:4">
      <c r="A79" s="114"/>
      <c r="B79" s="113"/>
      <c r="C79" s="109"/>
    </row>
    <row r="80" spans="1:4">
      <c r="A80" s="114"/>
      <c r="B80" s="113"/>
      <c r="C80" s="109"/>
    </row>
    <row r="81" spans="1:3">
      <c r="A81" s="114"/>
      <c r="B81" s="113"/>
      <c r="C81" s="109"/>
    </row>
    <row r="82" spans="1:3">
      <c r="A82" s="114"/>
      <c r="B82" s="113"/>
      <c r="C82" s="109"/>
    </row>
    <row r="83" spans="1:3">
      <c r="A83" s="114"/>
      <c r="B83" s="113"/>
      <c r="C83" s="109"/>
    </row>
    <row r="84" spans="1:3">
      <c r="A84" s="114"/>
      <c r="B84" s="113"/>
      <c r="C84" s="109"/>
    </row>
    <row r="85" spans="1:3">
      <c r="A85" s="114"/>
      <c r="B85" s="113"/>
      <c r="C85" s="109"/>
    </row>
    <row r="86" spans="1:3">
      <c r="A86" s="114"/>
      <c r="B86" s="113"/>
      <c r="C86" s="109"/>
    </row>
    <row r="87" spans="1:3">
      <c r="A87" s="114"/>
      <c r="B87" s="113"/>
      <c r="C87" s="109"/>
    </row>
    <row r="88" spans="1:3">
      <c r="A88" s="114"/>
      <c r="B88" s="113"/>
      <c r="C88" s="109"/>
    </row>
    <row r="89" spans="1:3">
      <c r="A89" s="114"/>
      <c r="B89" s="113"/>
      <c r="C89" s="109"/>
    </row>
    <row r="90" spans="1:3">
      <c r="A90" s="114"/>
      <c r="B90" s="113"/>
      <c r="C90" s="109"/>
    </row>
    <row r="91" spans="1:3">
      <c r="A91" s="114"/>
      <c r="B91" s="113"/>
      <c r="C91" s="109"/>
    </row>
    <row r="92" spans="1:3">
      <c r="A92" s="114"/>
      <c r="B92" s="113"/>
      <c r="C92" s="109"/>
    </row>
    <row r="93" spans="1:3">
      <c r="A93" s="114"/>
      <c r="B93" s="113"/>
      <c r="C93" s="109"/>
    </row>
    <row r="94" spans="1:3">
      <c r="A94" s="114"/>
      <c r="B94" s="113"/>
      <c r="C94" s="109"/>
    </row>
    <row r="95" spans="1:3">
      <c r="A95" s="114"/>
      <c r="B95" s="113"/>
      <c r="C95" s="109"/>
    </row>
    <row r="96" spans="1:3">
      <c r="A96" s="114"/>
      <c r="B96" s="113"/>
      <c r="C96" s="109"/>
    </row>
    <row r="97" spans="1:3">
      <c r="A97" s="114"/>
      <c r="B97" s="113"/>
      <c r="C97" s="109"/>
    </row>
    <row r="98" spans="1:3">
      <c r="A98" s="114"/>
      <c r="B98" s="113"/>
      <c r="C98" s="109"/>
    </row>
    <row r="99" spans="1:3">
      <c r="A99" s="114"/>
      <c r="B99" s="113"/>
      <c r="C99" s="109"/>
    </row>
    <row r="100" spans="1:3">
      <c r="A100" s="114"/>
      <c r="B100" s="113"/>
      <c r="C100" s="109"/>
    </row>
    <row r="101" spans="1:3">
      <c r="A101" s="114"/>
      <c r="B101" s="113"/>
      <c r="C101" s="109"/>
    </row>
    <row r="102" spans="1:3">
      <c r="A102" s="114"/>
      <c r="B102" s="113"/>
      <c r="C102" s="109"/>
    </row>
    <row r="103" spans="1:3">
      <c r="A103" s="114"/>
      <c r="B103" s="113"/>
      <c r="C103" s="109"/>
    </row>
    <row r="104" spans="1:3">
      <c r="A104" s="114"/>
      <c r="B104" s="113"/>
      <c r="C104" s="109"/>
    </row>
    <row r="105" spans="1:3">
      <c r="A105" s="114"/>
      <c r="B105" s="113"/>
      <c r="C105" s="109"/>
    </row>
    <row r="106" spans="1:3">
      <c r="A106" s="114"/>
      <c r="B106" s="113"/>
      <c r="C106" s="109"/>
    </row>
    <row r="107" spans="1:3">
      <c r="A107" s="114"/>
      <c r="B107" s="113"/>
      <c r="C107" s="109"/>
    </row>
    <row r="108" spans="1:3">
      <c r="A108" s="114"/>
      <c r="B108" s="113"/>
      <c r="C108" s="109"/>
    </row>
    <row r="109" spans="1:3">
      <c r="A109" s="114"/>
      <c r="B109" s="113"/>
      <c r="C109" s="109"/>
    </row>
    <row r="110" spans="1:3">
      <c r="A110" s="114"/>
      <c r="B110" s="113"/>
      <c r="C110" s="109"/>
    </row>
    <row r="111" spans="1:3">
      <c r="A111" s="114"/>
      <c r="B111" s="113"/>
      <c r="C111" s="109"/>
    </row>
    <row r="112" spans="1:3">
      <c r="A112" s="114"/>
      <c r="B112" s="113"/>
      <c r="C112" s="109"/>
    </row>
    <row r="113" spans="1:3">
      <c r="A113" s="114"/>
      <c r="B113" s="113"/>
      <c r="C113" s="109"/>
    </row>
    <row r="114" spans="1:3">
      <c r="A114" s="114"/>
      <c r="B114" s="113"/>
      <c r="C114" s="109"/>
    </row>
    <row r="115" spans="1:3">
      <c r="A115" s="114"/>
      <c r="B115" s="113"/>
      <c r="C115" s="109"/>
    </row>
    <row r="116" spans="1:3">
      <c r="A116" s="114"/>
      <c r="B116" s="113"/>
      <c r="C116" s="109"/>
    </row>
    <row r="117" spans="1:3">
      <c r="A117" s="114"/>
      <c r="B117" s="113"/>
      <c r="C117" s="109"/>
    </row>
    <row r="118" spans="1:3">
      <c r="A118" s="114"/>
      <c r="B118" s="113"/>
      <c r="C118" s="109"/>
    </row>
    <row r="119" spans="1:3">
      <c r="A119" s="114"/>
      <c r="B119" s="113"/>
      <c r="C119" s="109"/>
    </row>
    <row r="120" spans="1:3">
      <c r="A120" s="114"/>
      <c r="B120" s="113"/>
      <c r="C120" s="109"/>
    </row>
    <row r="121" spans="1:3">
      <c r="A121" s="114"/>
      <c r="B121" s="113"/>
      <c r="C121" s="109"/>
    </row>
    <row r="122" spans="1:3">
      <c r="A122" s="114"/>
      <c r="B122" s="113"/>
      <c r="C122" s="109"/>
    </row>
    <row r="123" spans="1:3">
      <c r="A123" s="114"/>
      <c r="B123" s="113"/>
      <c r="C123" s="109"/>
    </row>
    <row r="124" spans="1:3">
      <c r="A124" s="114"/>
      <c r="B124" s="113"/>
      <c r="C124" s="109"/>
    </row>
    <row r="125" spans="1:3">
      <c r="A125" s="114"/>
      <c r="B125" s="113"/>
      <c r="C125" s="109"/>
    </row>
    <row r="126" spans="1:3">
      <c r="A126" s="114"/>
      <c r="B126" s="113"/>
      <c r="C126" s="109"/>
    </row>
    <row r="127" spans="1:3">
      <c r="A127" s="114"/>
      <c r="B127" s="113"/>
      <c r="C127" s="109"/>
    </row>
    <row r="128" spans="1:3">
      <c r="A128" s="114"/>
      <c r="B128" s="113"/>
      <c r="C128" s="109"/>
    </row>
    <row r="129" spans="1:3">
      <c r="A129" s="114"/>
      <c r="B129" s="113"/>
      <c r="C129" s="109"/>
    </row>
    <row r="130" spans="1:3">
      <c r="A130" s="114"/>
      <c r="B130" s="113"/>
      <c r="C130" s="109"/>
    </row>
    <row r="131" spans="1:3">
      <c r="A131" s="114"/>
      <c r="B131" s="113"/>
      <c r="C131" s="109"/>
    </row>
    <row r="132" spans="1:3">
      <c r="A132" s="114"/>
      <c r="B132" s="113"/>
      <c r="C132" s="109"/>
    </row>
    <row r="133" spans="1:3">
      <c r="A133" s="114"/>
      <c r="B133" s="113"/>
      <c r="C133" s="109"/>
    </row>
    <row r="134" spans="1:3">
      <c r="A134" s="114"/>
      <c r="B134" s="113"/>
      <c r="C134" s="109"/>
    </row>
    <row r="135" spans="1:3">
      <c r="A135" s="114"/>
      <c r="B135" s="113"/>
      <c r="C135" s="109"/>
    </row>
    <row r="136" spans="1:3">
      <c r="A136" s="114"/>
      <c r="B136" s="113"/>
      <c r="C136" s="109"/>
    </row>
    <row r="137" spans="1:3">
      <c r="A137" s="114"/>
      <c r="B137" s="113"/>
      <c r="C137" s="109"/>
    </row>
    <row r="138" spans="1:3">
      <c r="A138" s="114"/>
      <c r="B138" s="113"/>
      <c r="C138" s="109"/>
    </row>
    <row r="139" spans="1:3">
      <c r="A139" s="114"/>
      <c r="B139" s="113"/>
      <c r="C139" s="109"/>
    </row>
    <row r="140" spans="1:3">
      <c r="A140" s="114"/>
      <c r="B140" s="113"/>
      <c r="C140" s="109"/>
    </row>
    <row r="141" spans="1:3">
      <c r="A141" s="114"/>
      <c r="B141" s="113"/>
      <c r="C141" s="109"/>
    </row>
    <row r="142" spans="1:3">
      <c r="A142" s="114"/>
      <c r="B142" s="113"/>
      <c r="C142" s="109"/>
    </row>
    <row r="143" spans="1:3">
      <c r="A143" s="114"/>
      <c r="B143" s="113"/>
      <c r="C143" s="109"/>
    </row>
    <row r="144" spans="1:3">
      <c r="A144" s="114"/>
      <c r="B144" s="113"/>
      <c r="C144" s="109"/>
    </row>
    <row r="145" spans="1:3">
      <c r="A145" s="114"/>
      <c r="B145" s="113"/>
      <c r="C145" s="109"/>
    </row>
    <row r="146" spans="1:3">
      <c r="A146" s="114"/>
      <c r="B146" s="113"/>
      <c r="C146" s="109"/>
    </row>
    <row r="147" spans="1:3">
      <c r="A147" s="114"/>
      <c r="B147" s="113"/>
      <c r="C147" s="109"/>
    </row>
    <row r="148" spans="1:3">
      <c r="A148" s="114"/>
      <c r="B148" s="113"/>
      <c r="C148" s="109"/>
    </row>
    <row r="149" spans="1:3">
      <c r="A149" s="114"/>
      <c r="B149" s="113"/>
      <c r="C149" s="109"/>
    </row>
    <row r="150" spans="1:3">
      <c r="A150" s="114"/>
      <c r="B150" s="113"/>
      <c r="C150" s="109"/>
    </row>
    <row r="151" spans="1:3">
      <c r="A151" s="114"/>
      <c r="B151" s="113"/>
      <c r="C151" s="109"/>
    </row>
    <row r="152" spans="1:3">
      <c r="A152" s="114"/>
      <c r="B152" s="113"/>
      <c r="C152" s="109"/>
    </row>
    <row r="153" spans="1:3">
      <c r="A153" s="114"/>
      <c r="B153" s="113"/>
      <c r="C153" s="109"/>
    </row>
    <row r="154" spans="1:3">
      <c r="A154" s="114"/>
      <c r="B154" s="113"/>
      <c r="C154" s="109"/>
    </row>
    <row r="155" spans="1:3">
      <c r="A155" s="114"/>
      <c r="B155" s="113"/>
      <c r="C155" s="109"/>
    </row>
    <row r="156" spans="1:3">
      <c r="A156" s="114"/>
      <c r="B156" s="113"/>
      <c r="C156" s="109"/>
    </row>
    <row r="157" spans="1:3">
      <c r="A157" s="114"/>
      <c r="B157" s="113"/>
      <c r="C157" s="109"/>
    </row>
    <row r="158" spans="1:3">
      <c r="A158" s="114"/>
      <c r="B158" s="113"/>
      <c r="C158" s="109"/>
    </row>
    <row r="159" spans="1:3">
      <c r="A159" s="114"/>
      <c r="B159" s="113"/>
      <c r="C159" s="109"/>
    </row>
    <row r="160" spans="1:3">
      <c r="A160" s="114"/>
      <c r="B160" s="113"/>
      <c r="C160" s="109"/>
    </row>
    <row r="161" spans="1:3">
      <c r="A161" s="114"/>
      <c r="B161" s="113"/>
      <c r="C161" s="109"/>
    </row>
    <row r="162" spans="1:3">
      <c r="A162" s="114"/>
      <c r="B162" s="113"/>
      <c r="C162" s="109"/>
    </row>
    <row r="163" spans="1:3">
      <c r="A163" s="114"/>
      <c r="B163" s="113"/>
      <c r="C163" s="109"/>
    </row>
    <row r="164" spans="1:3">
      <c r="A164" s="114"/>
      <c r="B164" s="113"/>
      <c r="C164" s="109"/>
    </row>
    <row r="165" spans="1:3">
      <c r="A165" s="114"/>
      <c r="B165" s="113"/>
      <c r="C165" s="109"/>
    </row>
    <row r="166" spans="1:3">
      <c r="A166" s="114"/>
      <c r="B166" s="113"/>
      <c r="C166" s="109"/>
    </row>
    <row r="167" spans="1:3">
      <c r="A167" s="114"/>
      <c r="B167" s="113"/>
      <c r="C167" s="109"/>
    </row>
    <row r="168" spans="1:3">
      <c r="A168" s="114"/>
      <c r="B168" s="113"/>
      <c r="C168" s="109"/>
    </row>
    <row r="169" spans="1:3">
      <c r="A169" s="114"/>
      <c r="B169" s="113"/>
      <c r="C169" s="109"/>
    </row>
    <row r="170" spans="1:3">
      <c r="A170" s="114"/>
      <c r="B170" s="113"/>
      <c r="C170" s="109"/>
    </row>
    <row r="171" spans="1:3">
      <c r="A171" s="114"/>
      <c r="B171" s="113"/>
      <c r="C171" s="109"/>
    </row>
    <row r="172" spans="1:3">
      <c r="A172" s="114"/>
      <c r="B172" s="113"/>
      <c r="C172" s="109"/>
    </row>
    <row r="173" spans="1:3">
      <c r="A173" s="114"/>
      <c r="B173" s="113"/>
      <c r="C173" s="109"/>
    </row>
    <row r="174" spans="1:3">
      <c r="A174" s="114"/>
      <c r="B174" s="113"/>
      <c r="C174" s="109"/>
    </row>
    <row r="175" spans="1:3">
      <c r="A175" s="114"/>
      <c r="B175" s="113"/>
      <c r="C175" s="109"/>
    </row>
    <row r="176" spans="1:3">
      <c r="A176" s="114"/>
      <c r="B176" s="113"/>
      <c r="C176" s="109"/>
    </row>
    <row r="177" spans="1:3">
      <c r="A177" s="114"/>
      <c r="B177" s="113"/>
      <c r="C177" s="109"/>
    </row>
    <row r="178" spans="1:3">
      <c r="A178" s="114"/>
      <c r="B178" s="113"/>
      <c r="C178" s="109"/>
    </row>
    <row r="179" spans="1:3">
      <c r="A179" s="114"/>
      <c r="B179" s="113"/>
      <c r="C179" s="109"/>
    </row>
    <row r="180" spans="1:3">
      <c r="A180" s="114"/>
      <c r="B180" s="113"/>
      <c r="C180" s="109"/>
    </row>
    <row r="181" spans="1:3">
      <c r="A181" s="114"/>
      <c r="B181" s="113"/>
      <c r="C181" s="109"/>
    </row>
    <row r="182" spans="1:3">
      <c r="A182" s="114"/>
      <c r="B182" s="113"/>
      <c r="C182" s="109"/>
    </row>
    <row r="183" spans="1:3">
      <c r="A183" s="114"/>
      <c r="B183" s="113"/>
      <c r="C183" s="109"/>
    </row>
    <row r="184" spans="1:3">
      <c r="A184" s="114"/>
      <c r="B184" s="113"/>
      <c r="C184" s="109"/>
    </row>
    <row r="185" spans="1:3">
      <c r="A185" s="114"/>
      <c r="B185" s="113"/>
      <c r="C185" s="109"/>
    </row>
    <row r="186" spans="1:3">
      <c r="A186" s="114"/>
      <c r="B186" s="113"/>
      <c r="C186" s="109"/>
    </row>
    <row r="187" spans="1:3">
      <c r="A187" s="114"/>
      <c r="B187" s="113"/>
      <c r="C187" s="109"/>
    </row>
    <row r="188" spans="1:3">
      <c r="A188" s="114"/>
      <c r="B188" s="113"/>
      <c r="C188" s="109"/>
    </row>
    <row r="189" spans="1:3">
      <c r="A189" s="114"/>
      <c r="B189" s="113"/>
      <c r="C189" s="109"/>
    </row>
    <row r="190" spans="1:3">
      <c r="A190" s="114"/>
      <c r="B190" s="113"/>
      <c r="C190" s="109"/>
    </row>
    <row r="191" spans="1:3">
      <c r="A191" s="114"/>
      <c r="B191" s="113"/>
      <c r="C191" s="109"/>
    </row>
    <row r="192" spans="1:3">
      <c r="A192" s="114"/>
      <c r="B192" s="113"/>
      <c r="C192" s="109"/>
    </row>
    <row r="193" spans="1:3">
      <c r="A193" s="114"/>
      <c r="B193" s="113"/>
      <c r="C193" s="109"/>
    </row>
    <row r="194" spans="1:3">
      <c r="A194" s="114"/>
      <c r="B194" s="113"/>
      <c r="C194" s="109"/>
    </row>
    <row r="195" spans="1:3">
      <c r="A195" s="114"/>
      <c r="B195" s="113"/>
      <c r="C195" s="109"/>
    </row>
    <row r="196" spans="1:3">
      <c r="A196" s="114"/>
      <c r="B196" s="113"/>
      <c r="C196" s="109"/>
    </row>
    <row r="197" spans="1:3">
      <c r="A197" s="114"/>
      <c r="B197" s="113"/>
      <c r="C197" s="109"/>
    </row>
    <row r="198" spans="1:3">
      <c r="A198" s="114"/>
      <c r="B198" s="113"/>
      <c r="C198" s="109"/>
    </row>
    <row r="199" spans="1:3">
      <c r="A199" s="114"/>
      <c r="B199" s="113"/>
      <c r="C199" s="109"/>
    </row>
    <row r="200" spans="1:3">
      <c r="A200" s="114"/>
      <c r="B200" s="113"/>
      <c r="C200" s="109"/>
    </row>
    <row r="201" spans="1:3">
      <c r="A201" s="114"/>
      <c r="B201" s="113"/>
      <c r="C201" s="109"/>
    </row>
    <row r="202" spans="1:3">
      <c r="A202" s="114"/>
      <c r="B202" s="113"/>
      <c r="C202" s="109"/>
    </row>
    <row r="203" spans="1:3">
      <c r="A203" s="114"/>
      <c r="B203" s="113"/>
      <c r="C203" s="109"/>
    </row>
  </sheetData>
  <sheetProtection algorithmName="SHA-512" hashValue="kxNNTE9mg1qE6cg0EWwprV2sDAjETg2iLgWxlycSpYcTE5iNgivMqWEyZTUrFAsy0UokqjD3hL4Qx7JFjpwaSg==" saltValue="jdx1Q0nXbiIB7r6ZHZi1xQ==" spinCount="100000" sheet="1" objects="1" scenarios="1"/>
  <pageMargins left="1.2598425196850394" right="0.43307086614173229" top="2.9133858267716537" bottom="0.78740157480314965" header="1.2204724409448819" footer="0.51181102362204722"/>
  <pageSetup paperSize="9" scale="110" orientation="portrait" useFirstPageNumber="1" r:id="rId1"/>
  <headerFooter alignWithMargins="0">
    <oddHeader>&amp;C&amp;"Calibri,Bold"&amp;12PADAVINSKA ODPADNA KANALIZACIJA</oddHeader>
    <oddFooter>&amp;R&amp;"Calibri,Bold"&amp;9Stran &amp;P od &amp;N</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V220"/>
  <sheetViews>
    <sheetView view="pageBreakPreview" topLeftCell="B1" zoomScale="120" zoomScaleNormal="120" zoomScaleSheetLayoutView="120" workbookViewId="0">
      <selection activeCell="E14" sqref="E14"/>
    </sheetView>
  </sheetViews>
  <sheetFormatPr defaultColWidth="7.875" defaultRowHeight="12.75"/>
  <cols>
    <col min="1" max="1" width="6.625" style="266" customWidth="1"/>
    <col min="2" max="2" width="34" style="265" customWidth="1"/>
    <col min="3" max="3" width="13.375" style="133" customWidth="1"/>
    <col min="4" max="4" width="5.375" style="135" customWidth="1"/>
    <col min="5" max="5" width="11.375" style="825" customWidth="1"/>
    <col min="6" max="6" width="15.25" style="918" customWidth="1"/>
    <col min="7" max="9" width="8.875" style="133" hidden="1" customWidth="1"/>
    <col min="10" max="19" width="0" style="133" hidden="1" customWidth="1"/>
    <col min="20" max="16384" width="7.875" style="133"/>
  </cols>
  <sheetData>
    <row r="1" spans="1:8" s="191" customFormat="1" ht="25.5">
      <c r="A1" s="299" t="s">
        <v>242</v>
      </c>
      <c r="B1" s="298" t="s">
        <v>243</v>
      </c>
      <c r="C1" s="297" t="s">
        <v>253</v>
      </c>
      <c r="D1" s="192" t="s">
        <v>254</v>
      </c>
      <c r="E1" s="824" t="s">
        <v>255</v>
      </c>
      <c r="F1" s="932" t="s">
        <v>244</v>
      </c>
    </row>
    <row r="2" spans="1:8" s="158" customFormat="1">
      <c r="A2" s="269"/>
      <c r="B2" s="127"/>
      <c r="C2" s="153"/>
      <c r="D2" s="150"/>
      <c r="E2" s="825"/>
      <c r="F2" s="918"/>
    </row>
    <row r="3" spans="1:8" s="143" customFormat="1">
      <c r="A3" s="267" t="s">
        <v>89</v>
      </c>
      <c r="B3" s="160" t="s">
        <v>245</v>
      </c>
      <c r="D3" s="155"/>
      <c r="E3" s="826"/>
      <c r="F3" s="933"/>
    </row>
    <row r="4" spans="1:8" s="142" customFormat="1">
      <c r="A4" s="269"/>
      <c r="B4" s="160"/>
      <c r="D4" s="169"/>
      <c r="E4" s="827"/>
      <c r="F4" s="919"/>
    </row>
    <row r="5" spans="1:8" s="142" customFormat="1">
      <c r="A5" s="267" t="s">
        <v>256</v>
      </c>
      <c r="B5" s="160" t="s">
        <v>257</v>
      </c>
      <c r="D5" s="169"/>
      <c r="E5" s="827"/>
      <c r="F5" s="919"/>
    </row>
    <row r="6" spans="1:8" s="158" customFormat="1">
      <c r="A6" s="269"/>
      <c r="B6" s="127"/>
      <c r="D6" s="150"/>
      <c r="E6" s="825"/>
      <c r="F6" s="918"/>
    </row>
    <row r="7" spans="1:8" s="158" customFormat="1" ht="25.5">
      <c r="A7" s="269" t="s">
        <v>258</v>
      </c>
      <c r="B7" s="127" t="s">
        <v>1093</v>
      </c>
      <c r="D7" s="150"/>
      <c r="E7" s="825"/>
      <c r="F7" s="918"/>
    </row>
    <row r="8" spans="1:8" s="158" customFormat="1">
      <c r="A8" s="269"/>
      <c r="B8" s="127"/>
      <c r="C8" s="153">
        <v>151.54</v>
      </c>
      <c r="D8" s="150" t="s">
        <v>108</v>
      </c>
      <c r="E8" s="828"/>
      <c r="F8" s="934">
        <f>ROUND(ROUND(C8,2)*ROUND(E8,2),2)</f>
        <v>0</v>
      </c>
      <c r="G8" s="153"/>
      <c r="H8" s="153"/>
    </row>
    <row r="9" spans="1:8" s="158" customFormat="1">
      <c r="A9" s="269"/>
      <c r="B9" s="127"/>
      <c r="C9" s="153"/>
      <c r="D9" s="150"/>
      <c r="E9" s="825"/>
      <c r="F9" s="918"/>
      <c r="G9" s="153"/>
      <c r="H9" s="153"/>
    </row>
    <row r="10" spans="1:8" s="142" customFormat="1">
      <c r="A10" s="267" t="s">
        <v>256</v>
      </c>
      <c r="B10" s="160" t="s">
        <v>263</v>
      </c>
      <c r="D10" s="169"/>
      <c r="E10" s="827"/>
      <c r="F10" s="935">
        <f>SUM(F7:F9)</f>
        <v>0</v>
      </c>
      <c r="G10" s="153"/>
    </row>
    <row r="11" spans="1:8" s="142" customFormat="1">
      <c r="A11" s="267"/>
      <c r="B11" s="160"/>
      <c r="D11" s="169"/>
      <c r="E11" s="827"/>
      <c r="F11" s="919"/>
      <c r="G11" s="153"/>
    </row>
    <row r="12" spans="1:8" s="142" customFormat="1">
      <c r="A12" s="267" t="s">
        <v>291</v>
      </c>
      <c r="B12" s="160" t="s">
        <v>292</v>
      </c>
      <c r="D12" s="169"/>
      <c r="E12" s="827"/>
      <c r="F12" s="919"/>
      <c r="G12" s="153"/>
    </row>
    <row r="13" spans="1:8" s="142" customFormat="1">
      <c r="A13" s="267"/>
      <c r="B13" s="160"/>
      <c r="D13" s="169"/>
      <c r="E13" s="827"/>
      <c r="F13" s="919"/>
      <c r="G13" s="153"/>
    </row>
    <row r="14" spans="1:8" s="158" customFormat="1" ht="63.75">
      <c r="A14" s="270" t="s">
        <v>293</v>
      </c>
      <c r="B14" s="127" t="s">
        <v>1092</v>
      </c>
      <c r="C14" s="153"/>
      <c r="D14" s="150"/>
      <c r="E14" s="825"/>
      <c r="F14" s="918"/>
      <c r="G14" s="153"/>
      <c r="H14" s="153"/>
    </row>
    <row r="15" spans="1:8" s="158" customFormat="1">
      <c r="A15" s="270"/>
      <c r="B15" s="127" t="s">
        <v>1014</v>
      </c>
      <c r="C15" s="153">
        <v>2</v>
      </c>
      <c r="D15" s="150" t="s">
        <v>108</v>
      </c>
      <c r="E15" s="829"/>
      <c r="F15" s="936">
        <f>ROUND(ROUND(C15,2)*ROUND(E15,2),2)</f>
        <v>0</v>
      </c>
      <c r="G15" s="153"/>
      <c r="H15" s="145"/>
    </row>
    <row r="16" spans="1:8" s="158" customFormat="1">
      <c r="A16" s="270"/>
      <c r="B16" s="127"/>
      <c r="C16" s="153"/>
      <c r="D16" s="150"/>
      <c r="E16" s="825"/>
      <c r="F16" s="936"/>
      <c r="G16" s="153"/>
      <c r="H16" s="145"/>
    </row>
    <row r="17" spans="1:256" s="158" customFormat="1" ht="51">
      <c r="A17" s="270" t="s">
        <v>295</v>
      </c>
      <c r="B17" s="127" t="s">
        <v>1091</v>
      </c>
      <c r="C17" s="153"/>
      <c r="D17" s="150"/>
      <c r="E17" s="825"/>
      <c r="F17" s="936"/>
      <c r="G17" s="153"/>
      <c r="H17" s="153"/>
    </row>
    <row r="18" spans="1:256" s="158" customFormat="1">
      <c r="A18" s="270"/>
      <c r="B18" s="127" t="s">
        <v>1014</v>
      </c>
      <c r="C18" s="153">
        <f>ROUNDUP(C8/10,0)</f>
        <v>16</v>
      </c>
      <c r="D18" s="150" t="s">
        <v>1090</v>
      </c>
      <c r="E18" s="829"/>
      <c r="F18" s="936">
        <f t="shared" ref="F18" si="0">ROUND(ROUND(C18,2)*ROUND(E18,2),2)</f>
        <v>0</v>
      </c>
      <c r="G18" s="153"/>
      <c r="H18" s="153"/>
    </row>
    <row r="19" spans="1:256" s="158" customFormat="1">
      <c r="A19" s="270"/>
      <c r="B19" s="127"/>
      <c r="C19" s="153"/>
      <c r="D19" s="150"/>
      <c r="E19" s="825"/>
      <c r="F19" s="918"/>
      <c r="G19" s="153"/>
      <c r="H19" s="153"/>
    </row>
    <row r="20" spans="1:256" s="158" customFormat="1" ht="48">
      <c r="A20" s="270"/>
      <c r="B20" s="277" t="s">
        <v>1089</v>
      </c>
      <c r="C20" s="153"/>
      <c r="D20" s="150"/>
      <c r="E20" s="825"/>
      <c r="F20" s="918"/>
      <c r="G20" s="153"/>
      <c r="H20" s="153"/>
    </row>
    <row r="21" spans="1:256" s="158" customFormat="1">
      <c r="A21" s="270"/>
      <c r="B21" s="127"/>
      <c r="C21" s="153"/>
      <c r="D21" s="150"/>
      <c r="E21" s="825"/>
      <c r="F21" s="918"/>
      <c r="G21" s="153"/>
      <c r="H21" s="145"/>
    </row>
    <row r="22" spans="1:256" s="142" customFormat="1">
      <c r="A22" s="267" t="s">
        <v>291</v>
      </c>
      <c r="B22" s="160" t="s">
        <v>297</v>
      </c>
      <c r="D22" s="169"/>
      <c r="E22" s="827"/>
      <c r="F22" s="937">
        <f>SUM(F14:F21)</f>
        <v>0</v>
      </c>
      <c r="G22" s="153"/>
    </row>
    <row r="23" spans="1:256" s="142" customFormat="1">
      <c r="A23" s="267"/>
      <c r="B23" s="160"/>
      <c r="D23" s="169"/>
      <c r="E23" s="827"/>
      <c r="F23" s="919"/>
      <c r="G23" s="153"/>
    </row>
    <row r="24" spans="1:256" s="143" customFormat="1">
      <c r="A24" s="267" t="s">
        <v>89</v>
      </c>
      <c r="B24" s="160" t="s">
        <v>298</v>
      </c>
      <c r="D24" s="155"/>
      <c r="E24" s="826"/>
      <c r="F24" s="935">
        <f>F22+F10</f>
        <v>0</v>
      </c>
      <c r="G24" s="153"/>
    </row>
    <row r="25" spans="1:256" s="158" customFormat="1">
      <c r="A25" s="269"/>
      <c r="B25" s="127"/>
      <c r="C25" s="153"/>
      <c r="D25" s="150"/>
      <c r="E25" s="825"/>
      <c r="F25" s="918"/>
      <c r="G25" s="153"/>
      <c r="H25" s="153"/>
    </row>
    <row r="26" spans="1:256" s="143" customFormat="1">
      <c r="A26" s="267" t="s">
        <v>91</v>
      </c>
      <c r="B26" s="160" t="s">
        <v>12</v>
      </c>
      <c r="D26" s="155"/>
      <c r="E26" s="826"/>
      <c r="F26" s="933"/>
      <c r="G26" s="274"/>
    </row>
    <row r="27" spans="1:256" s="143" customFormat="1">
      <c r="A27" s="267"/>
      <c r="B27" s="160"/>
      <c r="D27" s="155"/>
      <c r="E27" s="826"/>
      <c r="F27" s="933"/>
      <c r="G27" s="274"/>
    </row>
    <row r="28" spans="1:256" s="143" customFormat="1" ht="24">
      <c r="A28" s="267"/>
      <c r="B28" s="277" t="s">
        <v>1088</v>
      </c>
      <c r="D28" s="155"/>
      <c r="E28" s="826"/>
      <c r="F28" s="933"/>
      <c r="G28" s="274"/>
    </row>
    <row r="29" spans="1:256" s="273" customFormat="1" ht="11.25">
      <c r="A29" s="296"/>
      <c r="B29" s="116"/>
      <c r="C29" s="286"/>
      <c r="D29" s="295"/>
      <c r="E29" s="830"/>
      <c r="F29" s="938"/>
      <c r="G29" s="274"/>
      <c r="H29" s="286"/>
    </row>
    <row r="30" spans="1:256" s="275" customFormat="1">
      <c r="A30" s="267" t="s">
        <v>725</v>
      </c>
      <c r="B30" s="160" t="s">
        <v>736</v>
      </c>
      <c r="C30" s="142"/>
      <c r="D30" s="169"/>
      <c r="E30" s="827"/>
      <c r="F30" s="919"/>
      <c r="G30" s="274"/>
      <c r="IV30" s="287"/>
    </row>
    <row r="31" spans="1:256" s="275" customFormat="1">
      <c r="A31" s="267"/>
      <c r="B31" s="160"/>
      <c r="C31" s="142"/>
      <c r="D31" s="169"/>
      <c r="E31" s="827"/>
      <c r="F31" s="919"/>
      <c r="G31" s="274"/>
      <c r="IV31" s="287"/>
    </row>
    <row r="32" spans="1:256" s="275" customFormat="1" ht="38.25">
      <c r="A32" s="270" t="s">
        <v>735</v>
      </c>
      <c r="B32" s="268" t="s">
        <v>1087</v>
      </c>
      <c r="C32" s="153"/>
      <c r="D32" s="150"/>
      <c r="E32" s="825"/>
      <c r="F32" s="918"/>
      <c r="G32" s="274"/>
      <c r="IV32" s="287"/>
    </row>
    <row r="33" spans="1:256" s="275" customFormat="1">
      <c r="A33" s="269"/>
      <c r="B33" s="277" t="s">
        <v>1022</v>
      </c>
      <c r="C33" s="153">
        <v>0</v>
      </c>
      <c r="D33" s="150" t="s">
        <v>98</v>
      </c>
      <c r="E33" s="828"/>
      <c r="F33" s="934">
        <f>ROUND(ROUND(C33,2)*ROUND(E33,2),2)</f>
        <v>0</v>
      </c>
      <c r="G33" s="274"/>
      <c r="IV33" s="287"/>
    </row>
    <row r="34" spans="1:256" s="275" customFormat="1">
      <c r="A34" s="267"/>
      <c r="B34" s="160"/>
      <c r="C34" s="142"/>
      <c r="D34" s="169"/>
      <c r="E34" s="827"/>
      <c r="F34" s="934"/>
      <c r="G34" s="274"/>
      <c r="IV34" s="287"/>
    </row>
    <row r="35" spans="1:256" s="275" customFormat="1" ht="38.25">
      <c r="A35" s="270" t="s">
        <v>733</v>
      </c>
      <c r="B35" s="268" t="s">
        <v>1086</v>
      </c>
      <c r="C35" s="153"/>
      <c r="D35" s="150"/>
      <c r="E35" s="825"/>
      <c r="F35" s="934"/>
      <c r="G35" s="274"/>
      <c r="IV35" s="287"/>
    </row>
    <row r="36" spans="1:256" s="275" customFormat="1">
      <c r="A36" s="269"/>
      <c r="B36" s="268" t="s">
        <v>1014</v>
      </c>
      <c r="C36" s="153">
        <f>C15</f>
        <v>2</v>
      </c>
      <c r="D36" s="150" t="s">
        <v>98</v>
      </c>
      <c r="E36" s="828"/>
      <c r="F36" s="934">
        <f t="shared" ref="F36:F54" si="1">ROUND(ROUND(C36,2)*ROUND(E36,2),2)</f>
        <v>0</v>
      </c>
      <c r="G36" s="274"/>
      <c r="IV36" s="287"/>
    </row>
    <row r="37" spans="1:256" s="275" customFormat="1">
      <c r="A37" s="267"/>
      <c r="B37" s="160"/>
      <c r="C37" s="170"/>
      <c r="D37" s="169"/>
      <c r="E37" s="827"/>
      <c r="F37" s="934"/>
      <c r="G37" s="274"/>
      <c r="IV37" s="287"/>
    </row>
    <row r="38" spans="1:256" s="275" customFormat="1" ht="38.25">
      <c r="A38" s="284"/>
      <c r="B38" s="268" t="s">
        <v>1085</v>
      </c>
      <c r="C38" s="151"/>
      <c r="D38" s="150"/>
      <c r="E38" s="825"/>
      <c r="F38" s="934"/>
      <c r="G38" s="274"/>
      <c r="IV38" s="287"/>
    </row>
    <row r="39" spans="1:256" s="275" customFormat="1">
      <c r="A39" s="270"/>
      <c r="B39" s="146" t="s">
        <v>433</v>
      </c>
      <c r="C39" s="166">
        <v>156.55000000000001</v>
      </c>
      <c r="D39" s="150"/>
      <c r="E39" s="825"/>
      <c r="F39" s="934">
        <f t="shared" si="1"/>
        <v>0</v>
      </c>
      <c r="G39" s="274"/>
      <c r="IV39" s="287"/>
    </row>
    <row r="40" spans="1:256" s="275" customFormat="1">
      <c r="A40" s="270" t="s">
        <v>731</v>
      </c>
      <c r="B40" s="146" t="s">
        <v>1084</v>
      </c>
      <c r="C40" s="166">
        <f>C39*0.6</f>
        <v>93.93</v>
      </c>
      <c r="D40" s="133" t="s">
        <v>98</v>
      </c>
      <c r="E40" s="828"/>
      <c r="F40" s="934">
        <f t="shared" si="1"/>
        <v>0</v>
      </c>
      <c r="G40" s="274"/>
      <c r="IV40" s="287"/>
    </row>
    <row r="41" spans="1:256" s="275" customFormat="1">
      <c r="A41" s="270" t="s">
        <v>729</v>
      </c>
      <c r="B41" s="146" t="s">
        <v>1083</v>
      </c>
      <c r="C41" s="166">
        <f>C39*0.35</f>
        <v>54.792500000000004</v>
      </c>
      <c r="D41" s="133" t="s">
        <v>98</v>
      </c>
      <c r="E41" s="828"/>
      <c r="F41" s="934">
        <f t="shared" si="1"/>
        <v>0</v>
      </c>
      <c r="G41" s="274"/>
      <c r="IV41" s="287"/>
    </row>
    <row r="42" spans="1:256" s="275" customFormat="1">
      <c r="A42" s="270" t="s">
        <v>727</v>
      </c>
      <c r="B42" s="146" t="s">
        <v>1082</v>
      </c>
      <c r="C42" s="166">
        <f>C39*0.05</f>
        <v>7.8275000000000006</v>
      </c>
      <c r="D42" s="150" t="s">
        <v>98</v>
      </c>
      <c r="E42" s="828"/>
      <c r="F42" s="934">
        <f t="shared" si="1"/>
        <v>0</v>
      </c>
      <c r="G42" s="274"/>
      <c r="IV42" s="287"/>
    </row>
    <row r="43" spans="1:256" s="275" customFormat="1">
      <c r="A43" s="269"/>
      <c r="B43" s="146"/>
      <c r="C43" s="167"/>
      <c r="D43" s="150"/>
      <c r="E43" s="825"/>
      <c r="F43" s="934"/>
      <c r="G43" s="274"/>
      <c r="IV43" s="287"/>
    </row>
    <row r="44" spans="1:256" s="275" customFormat="1" ht="38.25">
      <c r="A44" s="284"/>
      <c r="B44" s="146" t="s">
        <v>1081</v>
      </c>
      <c r="C44" s="167"/>
      <c r="D44" s="150"/>
      <c r="E44" s="825"/>
      <c r="F44" s="934"/>
      <c r="G44" s="274"/>
      <c r="IV44" s="287"/>
    </row>
    <row r="45" spans="1:256" s="275" customFormat="1">
      <c r="A45" s="270"/>
      <c r="B45" s="146" t="s">
        <v>433</v>
      </c>
      <c r="C45" s="166">
        <v>4.18</v>
      </c>
      <c r="D45" s="150"/>
      <c r="E45" s="825"/>
      <c r="F45" s="934">
        <f t="shared" si="1"/>
        <v>0</v>
      </c>
      <c r="G45" s="274"/>
      <c r="IV45" s="287"/>
    </row>
    <row r="46" spans="1:256" s="275" customFormat="1">
      <c r="A46" s="270" t="s">
        <v>1080</v>
      </c>
      <c r="B46" s="146" t="s">
        <v>1079</v>
      </c>
      <c r="C46" s="166">
        <f>C45*0.1</f>
        <v>0.41799999999999998</v>
      </c>
      <c r="D46" s="133" t="s">
        <v>98</v>
      </c>
      <c r="E46" s="828"/>
      <c r="F46" s="934">
        <f t="shared" si="1"/>
        <v>0</v>
      </c>
      <c r="G46" s="274"/>
      <c r="IV46" s="287"/>
    </row>
    <row r="47" spans="1:256" s="275" customFormat="1">
      <c r="A47" s="270" t="s">
        <v>1078</v>
      </c>
      <c r="B47" s="146" t="s">
        <v>1077</v>
      </c>
      <c r="C47" s="166">
        <f>C45*0.7</f>
        <v>2.9259999999999997</v>
      </c>
      <c r="D47" s="133" t="s">
        <v>98</v>
      </c>
      <c r="E47" s="828"/>
      <c r="F47" s="934">
        <f t="shared" si="1"/>
        <v>0</v>
      </c>
      <c r="G47" s="274"/>
      <c r="IV47" s="287"/>
    </row>
    <row r="48" spans="1:256" s="275" customFormat="1">
      <c r="A48" s="270" t="s">
        <v>1076</v>
      </c>
      <c r="B48" s="146" t="s">
        <v>1075</v>
      </c>
      <c r="C48" s="166">
        <f>C45*0.2</f>
        <v>0.83599999999999997</v>
      </c>
      <c r="D48" s="150" t="s">
        <v>98</v>
      </c>
      <c r="E48" s="828"/>
      <c r="F48" s="934">
        <f t="shared" si="1"/>
        <v>0</v>
      </c>
      <c r="G48" s="274"/>
      <c r="IV48" s="287"/>
    </row>
    <row r="49" spans="1:256" s="275" customFormat="1">
      <c r="A49" s="270"/>
      <c r="B49" s="268"/>
      <c r="C49" s="153"/>
      <c r="D49" s="150"/>
      <c r="E49" s="825"/>
      <c r="F49" s="934"/>
      <c r="G49" s="274"/>
      <c r="IV49" s="287"/>
    </row>
    <row r="50" spans="1:256" s="275" customFormat="1" ht="51.75" thickBot="1">
      <c r="A50" s="284"/>
      <c r="B50" s="268" t="s">
        <v>1074</v>
      </c>
      <c r="C50" s="153"/>
      <c r="D50" s="150"/>
      <c r="E50" s="825"/>
      <c r="F50" s="934"/>
      <c r="G50" s="274"/>
      <c r="H50" s="275" t="s">
        <v>1073</v>
      </c>
      <c r="L50" s="275" t="s">
        <v>1072</v>
      </c>
      <c r="P50" s="275" t="s">
        <v>1071</v>
      </c>
      <c r="IV50" s="287"/>
    </row>
    <row r="51" spans="1:256" s="275" customFormat="1">
      <c r="A51" s="270"/>
      <c r="B51" s="268" t="s">
        <v>433</v>
      </c>
      <c r="C51" s="153">
        <f>K56+O56+S56</f>
        <v>153.22315005274032</v>
      </c>
      <c r="D51" s="150"/>
      <c r="E51" s="825"/>
      <c r="F51" s="934">
        <f t="shared" si="1"/>
        <v>0</v>
      </c>
      <c r="G51" s="274"/>
      <c r="H51" s="294" t="s">
        <v>1070</v>
      </c>
      <c r="I51" s="293">
        <v>397.5</v>
      </c>
      <c r="J51" s="275" t="s">
        <v>1069</v>
      </c>
      <c r="K51" s="275">
        <f>I55*I56</f>
        <v>21.6</v>
      </c>
      <c r="L51" s="294" t="s">
        <v>1070</v>
      </c>
      <c r="M51" s="293">
        <v>398.28</v>
      </c>
      <c r="N51" s="275" t="s">
        <v>1069</v>
      </c>
      <c r="O51" s="275">
        <f>M55*M56</f>
        <v>14.399999999999999</v>
      </c>
      <c r="P51" s="294" t="s">
        <v>1070</v>
      </c>
      <c r="Q51" s="293">
        <v>397.96</v>
      </c>
      <c r="R51" s="275" t="s">
        <v>1069</v>
      </c>
      <c r="S51" s="275">
        <f>Q55*Q56</f>
        <v>18</v>
      </c>
      <c r="IV51" s="287"/>
    </row>
    <row r="52" spans="1:256" s="275" customFormat="1">
      <c r="A52" s="270" t="s">
        <v>1068</v>
      </c>
      <c r="B52" s="268" t="s">
        <v>1067</v>
      </c>
      <c r="C52" s="153">
        <f>C51*0.3</f>
        <v>45.966945015822098</v>
      </c>
      <c r="D52" s="133" t="s">
        <v>98</v>
      </c>
      <c r="E52" s="828"/>
      <c r="F52" s="934">
        <f t="shared" si="1"/>
        <v>0</v>
      </c>
      <c r="G52" s="274"/>
      <c r="H52" s="291" t="s">
        <v>1066</v>
      </c>
      <c r="I52" s="290">
        <v>394.58</v>
      </c>
      <c r="J52" s="275" t="s">
        <v>1065</v>
      </c>
      <c r="K52" s="275">
        <f>(I55+0.4)*(I56+0.4)</f>
        <v>25.84</v>
      </c>
      <c r="L52" s="291" t="s">
        <v>1066</v>
      </c>
      <c r="M52" s="290">
        <v>395.779</v>
      </c>
      <c r="N52" s="275" t="s">
        <v>1065</v>
      </c>
      <c r="O52" s="275">
        <f>(M55+0.4)*(M56+0.4)</f>
        <v>17.919999999999998</v>
      </c>
      <c r="P52" s="291" t="s">
        <v>1066</v>
      </c>
      <c r="Q52" s="290">
        <v>395.78300000000002</v>
      </c>
      <c r="R52" s="275" t="s">
        <v>1065</v>
      </c>
      <c r="S52" s="275">
        <f>(Q55+0.4)*(Q56+0.4)</f>
        <v>21.76</v>
      </c>
      <c r="IV52" s="287"/>
    </row>
    <row r="53" spans="1:256" s="275" customFormat="1">
      <c r="A53" s="270" t="s">
        <v>1064</v>
      </c>
      <c r="B53" s="268" t="s">
        <v>1063</v>
      </c>
      <c r="C53" s="153">
        <f>C51*0.6</f>
        <v>91.933890031644196</v>
      </c>
      <c r="D53" s="133" t="s">
        <v>98</v>
      </c>
      <c r="E53" s="828"/>
      <c r="F53" s="934">
        <f t="shared" si="1"/>
        <v>0</v>
      </c>
      <c r="G53" s="274"/>
      <c r="H53" s="291" t="s">
        <v>1062</v>
      </c>
      <c r="I53" s="290">
        <v>0.85</v>
      </c>
      <c r="J53" s="275" t="s">
        <v>1061</v>
      </c>
      <c r="K53" s="275">
        <f>(I55+0.4+((I54+I57)*I58))*(I56+0.4+((I54+I57)*I58))</f>
        <v>33.45433156</v>
      </c>
      <c r="L53" s="291" t="s">
        <v>1062</v>
      </c>
      <c r="M53" s="290">
        <v>0.85</v>
      </c>
      <c r="N53" s="275" t="s">
        <v>1061</v>
      </c>
      <c r="O53" s="275">
        <f>(M55+0.4+((M54+M57)*M58))*(M56+0.4+((M54+M57)*M58))</f>
        <v>22.921179040000002</v>
      </c>
      <c r="P53" s="291" t="s">
        <v>1062</v>
      </c>
      <c r="Q53" s="290">
        <v>0.85</v>
      </c>
      <c r="R53" s="275" t="s">
        <v>1061</v>
      </c>
      <c r="S53" s="275">
        <f>(Q55+0.4+((Q54+Q57)*Q58))*(Q56+0.4+((Q54+Q57)*Q58))</f>
        <v>27.070059040000004</v>
      </c>
      <c r="IV53" s="287"/>
    </row>
    <row r="54" spans="1:256" s="275" customFormat="1">
      <c r="A54" s="270" t="s">
        <v>1060</v>
      </c>
      <c r="B54" s="268" t="s">
        <v>427</v>
      </c>
      <c r="C54" s="153">
        <f>C51*0.1</f>
        <v>15.322315005274033</v>
      </c>
      <c r="D54" s="150" t="s">
        <v>98</v>
      </c>
      <c r="E54" s="828"/>
      <c r="F54" s="934">
        <f t="shared" si="1"/>
        <v>0</v>
      </c>
      <c r="G54" s="274"/>
      <c r="H54" s="291" t="s">
        <v>1059</v>
      </c>
      <c r="I54" s="290">
        <f>0.42*4</f>
        <v>1.68</v>
      </c>
      <c r="J54" s="275" t="s">
        <v>1058</v>
      </c>
      <c r="K54" s="292">
        <f>I51-I52-I53+I57</f>
        <v>2.3700000000000156</v>
      </c>
      <c r="L54" s="291" t="s">
        <v>1059</v>
      </c>
      <c r="M54" s="290">
        <f>0.42*3</f>
        <v>1.26</v>
      </c>
      <c r="N54" s="275" t="s">
        <v>1058</v>
      </c>
      <c r="O54" s="292">
        <f>M51-M52-M53+M57</f>
        <v>1.9509999999999763</v>
      </c>
      <c r="P54" s="291" t="s">
        <v>1059</v>
      </c>
      <c r="Q54" s="290">
        <f>0.42*3</f>
        <v>1.26</v>
      </c>
      <c r="R54" s="275" t="s">
        <v>1058</v>
      </c>
      <c r="S54" s="292">
        <f>Q51-Q52-Q53+Q57</f>
        <v>1.626999999999964</v>
      </c>
      <c r="IV54" s="287"/>
    </row>
    <row r="55" spans="1:256" s="275" customFormat="1">
      <c r="A55" s="270"/>
      <c r="B55" s="268"/>
      <c r="C55" s="153"/>
      <c r="D55" s="150"/>
      <c r="E55" s="825"/>
      <c r="F55" s="918"/>
      <c r="G55" s="274"/>
      <c r="H55" s="291" t="s">
        <v>1057</v>
      </c>
      <c r="I55" s="290">
        <v>3</v>
      </c>
      <c r="J55" s="275" t="s">
        <v>1056</v>
      </c>
      <c r="K55" s="275">
        <f>(I55+0.4+K54*I58)*(I56+0.4+K54*I58)</f>
        <v>35.05478041000007</v>
      </c>
      <c r="L55" s="291" t="s">
        <v>1057</v>
      </c>
      <c r="M55" s="290">
        <v>2.4</v>
      </c>
      <c r="N55" s="275" t="s">
        <v>1056</v>
      </c>
      <c r="O55" s="275">
        <f>(M55+0.4+O54*M58)*(M56+0.4+O54*M58)</f>
        <v>24.25775306889992</v>
      </c>
      <c r="P55" s="291" t="s">
        <v>1057</v>
      </c>
      <c r="Q55" s="290">
        <v>3</v>
      </c>
      <c r="R55" s="275" t="s">
        <v>1056</v>
      </c>
      <c r="S55" s="275">
        <f>(Q55+0.4+S54*Q58)*(Q56+0.4+S54*Q58)</f>
        <v>27.309990348099873</v>
      </c>
      <c r="IV55" s="287"/>
    </row>
    <row r="56" spans="1:256" s="275" customFormat="1">
      <c r="A56" s="270"/>
      <c r="B56" s="268"/>
      <c r="C56" s="151"/>
      <c r="D56" s="150"/>
      <c r="E56" s="825"/>
      <c r="F56" s="918"/>
      <c r="G56" s="274"/>
      <c r="H56" s="291" t="s">
        <v>1055</v>
      </c>
      <c r="I56" s="290">
        <v>7.2</v>
      </c>
      <c r="J56" s="275" t="s">
        <v>1054</v>
      </c>
      <c r="K56" s="275">
        <f>AVERAGE(K55,K52)*K54</f>
        <v>72.160314785850559</v>
      </c>
      <c r="L56" s="291" t="s">
        <v>1055</v>
      </c>
      <c r="M56" s="290">
        <v>6</v>
      </c>
      <c r="N56" s="275" t="s">
        <v>1054</v>
      </c>
      <c r="O56" s="275">
        <f>AVERAGE(O55,O52)*O54</f>
        <v>41.144398118711372</v>
      </c>
      <c r="P56" s="291" t="s">
        <v>1055</v>
      </c>
      <c r="Q56" s="290">
        <v>6</v>
      </c>
      <c r="R56" s="275" t="s">
        <v>1054</v>
      </c>
      <c r="S56" s="275">
        <f>AVERAGE(S55,S52)*S54</f>
        <v>39.91843714817837</v>
      </c>
      <c r="IV56" s="287"/>
    </row>
    <row r="57" spans="1:256" s="273" customFormat="1">
      <c r="A57" s="267" t="s">
        <v>725</v>
      </c>
      <c r="B57" s="160" t="s">
        <v>724</v>
      </c>
      <c r="C57" s="170"/>
      <c r="D57" s="169"/>
      <c r="E57" s="827"/>
      <c r="F57" s="935">
        <f>SUM(F31:F56)</f>
        <v>0</v>
      </c>
      <c r="G57" s="274"/>
      <c r="H57" s="291" t="s">
        <v>1053</v>
      </c>
      <c r="I57" s="290">
        <v>0.3</v>
      </c>
      <c r="J57" s="275" t="s">
        <v>1052</v>
      </c>
      <c r="K57" s="275">
        <f>K52*I57</f>
        <v>7.7519999999999998</v>
      </c>
      <c r="L57" s="291" t="s">
        <v>1053</v>
      </c>
      <c r="M57" s="290">
        <v>0.3</v>
      </c>
      <c r="N57" s="275" t="s">
        <v>1052</v>
      </c>
      <c r="O57" s="275">
        <f>O52*M57</f>
        <v>5.3759999999999994</v>
      </c>
      <c r="P57" s="291" t="s">
        <v>1053</v>
      </c>
      <c r="Q57" s="290">
        <v>0.3</v>
      </c>
      <c r="R57" s="275" t="s">
        <v>1052</v>
      </c>
      <c r="S57" s="275">
        <f>S52*Q57</f>
        <v>6.5280000000000005</v>
      </c>
    </row>
    <row r="58" spans="1:256" s="273" customFormat="1" ht="13.5" thickBot="1">
      <c r="A58" s="266"/>
      <c r="B58" s="265"/>
      <c r="C58" s="168"/>
      <c r="D58" s="133"/>
      <c r="E58" s="825"/>
      <c r="F58" s="918"/>
      <c r="G58" s="274"/>
      <c r="H58" s="289" t="s">
        <v>1051</v>
      </c>
      <c r="I58" s="288">
        <v>0.33</v>
      </c>
      <c r="J58" s="275" t="s">
        <v>1050</v>
      </c>
      <c r="K58" s="275">
        <f>I54*I55*I56</f>
        <v>36.288000000000004</v>
      </c>
      <c r="L58" s="289" t="s">
        <v>1051</v>
      </c>
      <c r="M58" s="288">
        <v>0.33</v>
      </c>
      <c r="N58" s="275" t="s">
        <v>1050</v>
      </c>
      <c r="O58" s="275">
        <f>M54*M55*M56</f>
        <v>18.143999999999998</v>
      </c>
      <c r="P58" s="289" t="s">
        <v>1051</v>
      </c>
      <c r="Q58" s="288">
        <v>0.33</v>
      </c>
      <c r="R58" s="275" t="s">
        <v>1050</v>
      </c>
      <c r="S58" s="275">
        <f>Q54*Q55*Q56</f>
        <v>22.68</v>
      </c>
    </row>
    <row r="59" spans="1:256" s="275" customFormat="1">
      <c r="A59" s="267" t="s">
        <v>716</v>
      </c>
      <c r="B59" s="160" t="s">
        <v>1049</v>
      </c>
      <c r="C59" s="170"/>
      <c r="D59" s="169"/>
      <c r="E59" s="827"/>
      <c r="F59" s="919"/>
      <c r="G59" s="274"/>
      <c r="J59" s="275" t="s">
        <v>1048</v>
      </c>
      <c r="K59" s="275">
        <f>AVERAGE(K52,K53)*(I54+I57)-K58</f>
        <v>22.413388244399997</v>
      </c>
      <c r="N59" s="275" t="s">
        <v>1048</v>
      </c>
      <c r="O59" s="275">
        <f>AVERAGE(O52,O53)*(M54+M57)-O58</f>
        <v>13.712119651200002</v>
      </c>
      <c r="R59" s="275" t="s">
        <v>1048</v>
      </c>
      <c r="S59" s="275">
        <f>AVERAGE(S52,S53)*(Q54+Q57)-S58</f>
        <v>15.407446051200012</v>
      </c>
      <c r="IV59" s="287"/>
    </row>
    <row r="60" spans="1:256" s="275" customFormat="1">
      <c r="A60" s="267"/>
      <c r="B60" s="160"/>
      <c r="C60" s="170"/>
      <c r="D60" s="169"/>
      <c r="E60" s="827"/>
      <c r="F60" s="919"/>
      <c r="G60" s="274"/>
      <c r="J60" s="275" t="s">
        <v>1047</v>
      </c>
      <c r="K60" s="275">
        <f>K56-K57-K58-K59</f>
        <v>5.7069265414505637</v>
      </c>
      <c r="N60" s="275" t="s">
        <v>1047</v>
      </c>
      <c r="O60" s="275">
        <f>O56-O57-O58-O59</f>
        <v>3.9122784675113742</v>
      </c>
      <c r="R60" s="275" t="s">
        <v>1047</v>
      </c>
      <c r="S60" s="275">
        <f>S56-S57-S58-S59</f>
        <v>-4.69700890302164</v>
      </c>
      <c r="IV60" s="287"/>
    </row>
    <row r="61" spans="1:256" s="275" customFormat="1" ht="38.25">
      <c r="A61" s="270" t="s">
        <v>722</v>
      </c>
      <c r="B61" s="268" t="s">
        <v>1046</v>
      </c>
      <c r="C61" s="153"/>
      <c r="D61" s="150"/>
      <c r="E61" s="825"/>
      <c r="F61" s="918"/>
      <c r="G61" s="274"/>
      <c r="J61" s="275" t="s">
        <v>1045</v>
      </c>
      <c r="K61" s="275">
        <f>I54*I55*2+I54*I56*2+I55*I56*2</f>
        <v>77.472000000000008</v>
      </c>
      <c r="N61" s="275" t="s">
        <v>1045</v>
      </c>
      <c r="O61" s="275">
        <f>M54*M55*2+M54*M56*2+M55*M56*2</f>
        <v>49.967999999999996</v>
      </c>
      <c r="R61" s="275" t="s">
        <v>1045</v>
      </c>
      <c r="S61" s="275">
        <f>Q54*Q55*2+Q54*Q56*2+Q55*Q56*2</f>
        <v>58.68</v>
      </c>
      <c r="IV61" s="287"/>
    </row>
    <row r="62" spans="1:256" s="275" customFormat="1">
      <c r="A62" s="269"/>
      <c r="B62" s="268"/>
      <c r="C62" s="153">
        <v>84.862400000000008</v>
      </c>
      <c r="D62" s="150" t="s">
        <v>100</v>
      </c>
      <c r="E62" s="828"/>
      <c r="F62" s="934">
        <f>ROUND(ROUND(C62,2)*ROUND(E62,2),2)</f>
        <v>0</v>
      </c>
      <c r="G62" s="274"/>
      <c r="IV62" s="287"/>
    </row>
    <row r="63" spans="1:256" s="275" customFormat="1">
      <c r="A63" s="269"/>
      <c r="B63" s="268"/>
      <c r="C63" s="153"/>
      <c r="D63" s="150"/>
      <c r="E63" s="825"/>
      <c r="F63" s="934"/>
      <c r="G63" s="274"/>
      <c r="IV63" s="287"/>
    </row>
    <row r="64" spans="1:256" s="275" customFormat="1" ht="38.25">
      <c r="A64" s="270" t="s">
        <v>720</v>
      </c>
      <c r="B64" s="268" t="s">
        <v>1044</v>
      </c>
      <c r="C64" s="153"/>
      <c r="D64" s="150"/>
      <c r="E64" s="825"/>
      <c r="F64" s="934"/>
      <c r="G64" s="274"/>
      <c r="IV64" s="287"/>
    </row>
    <row r="65" spans="1:256" s="275" customFormat="1">
      <c r="A65" s="269"/>
      <c r="B65" s="268"/>
      <c r="C65" s="153">
        <f>K52+O52+S52</f>
        <v>65.52</v>
      </c>
      <c r="D65" s="150" t="s">
        <v>100</v>
      </c>
      <c r="E65" s="828"/>
      <c r="F65" s="934">
        <f t="shared" ref="F65:F95" si="2">ROUND(ROUND(C65,2)*ROUND(E65,2),2)</f>
        <v>0</v>
      </c>
      <c r="G65" s="274"/>
      <c r="IV65" s="287"/>
    </row>
    <row r="66" spans="1:256" s="275" customFormat="1">
      <c r="A66" s="269"/>
      <c r="B66" s="268"/>
      <c r="C66" s="153"/>
      <c r="D66" s="150"/>
      <c r="E66" s="825"/>
      <c r="F66" s="934"/>
      <c r="G66" s="274"/>
      <c r="IV66" s="287"/>
    </row>
    <row r="67" spans="1:256" s="275" customFormat="1" ht="63.75">
      <c r="A67" s="270" t="s">
        <v>718</v>
      </c>
      <c r="B67" s="268" t="s">
        <v>1043</v>
      </c>
      <c r="C67" s="153"/>
      <c r="D67" s="150"/>
      <c r="E67" s="825"/>
      <c r="F67" s="934"/>
      <c r="G67" s="274"/>
      <c r="IV67" s="287"/>
    </row>
    <row r="68" spans="1:256" s="275" customFormat="1">
      <c r="A68" s="269"/>
      <c r="B68" s="268"/>
      <c r="C68" s="153">
        <f>11.13-C74</f>
        <v>6.330000000000001</v>
      </c>
      <c r="D68" s="150" t="s">
        <v>98</v>
      </c>
      <c r="E68" s="828"/>
      <c r="F68" s="934">
        <f t="shared" si="2"/>
        <v>0</v>
      </c>
      <c r="G68" s="274"/>
      <c r="IV68" s="287"/>
    </row>
    <row r="69" spans="1:256" s="275" customFormat="1">
      <c r="A69" s="269"/>
      <c r="B69" s="268"/>
      <c r="C69" s="151"/>
      <c r="D69" s="150"/>
      <c r="E69" s="825"/>
      <c r="F69" s="934"/>
      <c r="G69" s="274"/>
      <c r="IV69" s="287"/>
    </row>
    <row r="70" spans="1:256" s="275" customFormat="1" ht="51">
      <c r="A70" s="270" t="s">
        <v>1042</v>
      </c>
      <c r="B70" s="268" t="s">
        <v>1041</v>
      </c>
      <c r="C70" s="153"/>
      <c r="D70" s="150"/>
      <c r="E70" s="825"/>
      <c r="F70" s="934"/>
      <c r="G70" s="274"/>
      <c r="IV70" s="287"/>
    </row>
    <row r="71" spans="1:256" s="275" customFormat="1">
      <c r="A71" s="269"/>
      <c r="B71" s="268"/>
      <c r="C71" s="153">
        <f>K57+O57+S57</f>
        <v>19.655999999999999</v>
      </c>
      <c r="D71" s="150" t="s">
        <v>98</v>
      </c>
      <c r="E71" s="828"/>
      <c r="F71" s="934">
        <f t="shared" si="2"/>
        <v>0</v>
      </c>
      <c r="G71" s="274"/>
      <c r="IV71" s="287"/>
    </row>
    <row r="72" spans="1:256" s="275" customFormat="1">
      <c r="A72" s="269"/>
      <c r="B72" s="268"/>
      <c r="C72" s="151"/>
      <c r="D72" s="150"/>
      <c r="E72" s="825"/>
      <c r="F72" s="934"/>
      <c r="G72" s="274"/>
      <c r="IV72" s="287"/>
    </row>
    <row r="73" spans="1:256" s="275" customFormat="1" ht="51">
      <c r="A73" s="270" t="s">
        <v>1040</v>
      </c>
      <c r="B73" s="268" t="s">
        <v>1039</v>
      </c>
      <c r="C73" s="151"/>
      <c r="D73" s="150"/>
      <c r="E73" s="825"/>
      <c r="F73" s="934"/>
      <c r="G73" s="274"/>
      <c r="IV73" s="287"/>
    </row>
    <row r="74" spans="1:256" s="275" customFormat="1">
      <c r="A74" s="154"/>
      <c r="B74" s="268"/>
      <c r="C74" s="153">
        <v>4.8</v>
      </c>
      <c r="D74" s="150" t="s">
        <v>98</v>
      </c>
      <c r="E74" s="828"/>
      <c r="F74" s="934">
        <f t="shared" si="2"/>
        <v>0</v>
      </c>
      <c r="G74" s="274"/>
      <c r="IV74" s="287"/>
    </row>
    <row r="75" spans="1:256" s="275" customFormat="1">
      <c r="A75" s="269"/>
      <c r="B75" s="268"/>
      <c r="C75" s="151"/>
      <c r="D75" s="150"/>
      <c r="E75" s="825"/>
      <c r="F75" s="934"/>
      <c r="G75" s="274"/>
      <c r="IV75" s="287"/>
    </row>
    <row r="76" spans="1:256" s="275" customFormat="1" ht="102">
      <c r="A76" s="270" t="s">
        <v>1038</v>
      </c>
      <c r="B76" s="268" t="s">
        <v>1037</v>
      </c>
      <c r="C76" s="151"/>
      <c r="D76" s="150"/>
      <c r="E76" s="825"/>
      <c r="F76" s="934"/>
      <c r="G76" s="274"/>
      <c r="IV76" s="287"/>
    </row>
    <row r="77" spans="1:256" s="275" customFormat="1">
      <c r="A77" s="269"/>
      <c r="B77" s="268"/>
      <c r="C77" s="153">
        <v>18</v>
      </c>
      <c r="D77" s="150" t="s">
        <v>98</v>
      </c>
      <c r="E77" s="828"/>
      <c r="F77" s="934">
        <f t="shared" si="2"/>
        <v>0</v>
      </c>
      <c r="G77" s="274"/>
      <c r="IV77" s="287"/>
    </row>
    <row r="78" spans="1:256" s="275" customFormat="1">
      <c r="A78" s="269"/>
      <c r="B78" s="268"/>
      <c r="C78" s="151"/>
      <c r="D78" s="150"/>
      <c r="E78" s="825"/>
      <c r="F78" s="934"/>
      <c r="G78" s="274"/>
      <c r="IV78" s="287"/>
    </row>
    <row r="79" spans="1:256" s="275" customFormat="1" ht="102">
      <c r="A79" s="270" t="s">
        <v>1036</v>
      </c>
      <c r="B79" s="268" t="s">
        <v>1035</v>
      </c>
      <c r="C79" s="151"/>
      <c r="D79" s="150"/>
      <c r="E79" s="825"/>
      <c r="F79" s="934"/>
      <c r="G79" s="274"/>
      <c r="IV79" s="287"/>
    </row>
    <row r="80" spans="1:256" s="275" customFormat="1">
      <c r="A80" s="154"/>
      <c r="B80" s="268"/>
      <c r="C80" s="153">
        <v>24.1</v>
      </c>
      <c r="D80" s="150" t="s">
        <v>98</v>
      </c>
      <c r="E80" s="828"/>
      <c r="F80" s="934">
        <f t="shared" si="2"/>
        <v>0</v>
      </c>
      <c r="G80" s="274"/>
      <c r="IV80" s="287"/>
    </row>
    <row r="81" spans="1:256" s="275" customFormat="1">
      <c r="A81" s="154"/>
      <c r="B81" s="268"/>
      <c r="C81" s="153"/>
      <c r="D81" s="150"/>
      <c r="E81" s="825"/>
      <c r="F81" s="934"/>
      <c r="G81" s="274"/>
      <c r="IV81" s="287"/>
    </row>
    <row r="82" spans="1:256" s="275" customFormat="1" ht="51">
      <c r="A82" s="270" t="s">
        <v>1034</v>
      </c>
      <c r="B82" s="268" t="s">
        <v>1033</v>
      </c>
      <c r="C82" s="151"/>
      <c r="D82" s="150"/>
      <c r="E82" s="825"/>
      <c r="F82" s="934"/>
      <c r="G82" s="274"/>
      <c r="IV82" s="287"/>
    </row>
    <row r="83" spans="1:256" s="275" customFormat="1">
      <c r="A83" s="269"/>
      <c r="B83" s="268"/>
      <c r="C83" s="153">
        <f>K59+O59+S59</f>
        <v>51.532953946800006</v>
      </c>
      <c r="D83" s="150" t="s">
        <v>98</v>
      </c>
      <c r="E83" s="828"/>
      <c r="F83" s="934">
        <f t="shared" si="2"/>
        <v>0</v>
      </c>
      <c r="G83" s="274"/>
      <c r="IV83" s="287"/>
    </row>
    <row r="84" spans="1:256" s="275" customFormat="1">
      <c r="A84" s="269"/>
      <c r="B84" s="268"/>
      <c r="C84" s="151"/>
      <c r="D84" s="150"/>
      <c r="E84" s="825"/>
      <c r="F84" s="934"/>
      <c r="G84" s="274"/>
      <c r="IV84" s="287"/>
    </row>
    <row r="85" spans="1:256" s="275" customFormat="1" ht="51">
      <c r="A85" s="270" t="s">
        <v>1032</v>
      </c>
      <c r="B85" s="268" t="s">
        <v>1031</v>
      </c>
      <c r="C85" s="151"/>
      <c r="D85" s="150"/>
      <c r="E85" s="825"/>
      <c r="F85" s="934"/>
      <c r="G85" s="274"/>
      <c r="IV85" s="287"/>
    </row>
    <row r="86" spans="1:256" s="275" customFormat="1">
      <c r="A86" s="269"/>
      <c r="B86" s="268"/>
      <c r="C86" s="153">
        <v>105.95</v>
      </c>
      <c r="D86" s="150" t="s">
        <v>98</v>
      </c>
      <c r="E86" s="828"/>
      <c r="F86" s="934">
        <f t="shared" si="2"/>
        <v>0</v>
      </c>
      <c r="G86" s="274"/>
      <c r="IV86" s="287"/>
    </row>
    <row r="87" spans="1:256" s="275" customFormat="1">
      <c r="A87" s="269"/>
      <c r="B87" s="268"/>
      <c r="C87" s="153"/>
      <c r="D87" s="150"/>
      <c r="E87" s="825"/>
      <c r="F87" s="934"/>
      <c r="G87" s="274"/>
      <c r="IV87" s="287"/>
    </row>
    <row r="88" spans="1:256" s="275" customFormat="1" ht="89.25">
      <c r="A88" s="270" t="s">
        <v>1030</v>
      </c>
      <c r="B88" s="268" t="s">
        <v>1029</v>
      </c>
      <c r="C88" s="151"/>
      <c r="D88" s="150"/>
      <c r="E88" s="825"/>
      <c r="F88" s="934"/>
      <c r="G88" s="274"/>
      <c r="IV88" s="287"/>
    </row>
    <row r="89" spans="1:256" s="275" customFormat="1">
      <c r="A89" s="269"/>
      <c r="B89" s="268"/>
      <c r="C89" s="153">
        <f>K60+O60</f>
        <v>9.6192050089619379</v>
      </c>
      <c r="D89" s="150" t="s">
        <v>98</v>
      </c>
      <c r="E89" s="828"/>
      <c r="F89" s="934">
        <f t="shared" si="2"/>
        <v>0</v>
      </c>
      <c r="G89" s="274"/>
      <c r="IV89" s="287"/>
    </row>
    <row r="90" spans="1:256" s="275" customFormat="1">
      <c r="A90" s="269"/>
      <c r="B90" s="268"/>
      <c r="C90" s="151"/>
      <c r="D90" s="150"/>
      <c r="E90" s="825"/>
      <c r="F90" s="934"/>
      <c r="G90" s="274"/>
      <c r="IV90" s="287"/>
    </row>
    <row r="91" spans="1:256" s="273" customFormat="1" ht="63.75">
      <c r="A91" s="270" t="s">
        <v>1028</v>
      </c>
      <c r="B91" s="268" t="s">
        <v>1027</v>
      </c>
      <c r="C91" s="151"/>
      <c r="D91" s="150"/>
      <c r="E91" s="825"/>
      <c r="F91" s="934"/>
      <c r="G91" s="274"/>
      <c r="H91" s="274"/>
    </row>
    <row r="92" spans="1:256" s="273" customFormat="1">
      <c r="A92" s="269"/>
      <c r="B92" s="268"/>
      <c r="C92" s="153">
        <f>(C39+C45+C51-C86-C89)*1.4</f>
        <v>277.73752306128978</v>
      </c>
      <c r="D92" s="150" t="s">
        <v>98</v>
      </c>
      <c r="E92" s="828"/>
      <c r="F92" s="934">
        <f t="shared" si="2"/>
        <v>0</v>
      </c>
      <c r="G92" s="274"/>
      <c r="H92" s="274"/>
    </row>
    <row r="93" spans="1:256" s="273" customFormat="1">
      <c r="A93" s="269"/>
      <c r="B93" s="268"/>
      <c r="C93" s="151"/>
      <c r="D93" s="150"/>
      <c r="E93" s="825"/>
      <c r="F93" s="934"/>
      <c r="G93" s="274"/>
      <c r="H93" s="286"/>
    </row>
    <row r="94" spans="1:256" s="273" customFormat="1">
      <c r="A94" s="270" t="s">
        <v>1026</v>
      </c>
      <c r="B94" s="268" t="s">
        <v>1025</v>
      </c>
      <c r="C94" s="151"/>
      <c r="D94" s="150"/>
      <c r="E94" s="825"/>
      <c r="F94" s="934"/>
      <c r="G94" s="274"/>
      <c r="H94" s="286"/>
    </row>
    <row r="95" spans="1:256" s="273" customFormat="1">
      <c r="A95" s="269"/>
      <c r="B95" s="268"/>
      <c r="C95" s="153">
        <v>60</v>
      </c>
      <c r="D95" s="150" t="s">
        <v>121</v>
      </c>
      <c r="E95" s="828"/>
      <c r="F95" s="934">
        <f t="shared" si="2"/>
        <v>0</v>
      </c>
      <c r="G95" s="274"/>
      <c r="H95" s="286"/>
    </row>
    <row r="96" spans="1:256" s="273" customFormat="1">
      <c r="A96" s="269"/>
      <c r="B96" s="268"/>
      <c r="C96" s="151"/>
      <c r="D96" s="150"/>
      <c r="E96" s="825"/>
      <c r="F96" s="918"/>
      <c r="G96" s="274"/>
      <c r="H96" s="286"/>
    </row>
    <row r="97" spans="1:256" s="273" customFormat="1">
      <c r="A97" s="267" t="s">
        <v>716</v>
      </c>
      <c r="B97" s="160" t="s">
        <v>1024</v>
      </c>
      <c r="C97" s="170"/>
      <c r="D97" s="169"/>
      <c r="E97" s="827"/>
      <c r="F97" s="935">
        <f>SUM(F61:F95)</f>
        <v>0</v>
      </c>
      <c r="G97" s="274"/>
      <c r="H97" s="275"/>
    </row>
    <row r="98" spans="1:256" s="273" customFormat="1">
      <c r="A98" s="267"/>
      <c r="B98" s="160"/>
      <c r="C98" s="170"/>
      <c r="D98" s="169"/>
      <c r="E98" s="827"/>
      <c r="F98" s="919"/>
      <c r="G98" s="274"/>
      <c r="H98" s="275"/>
    </row>
    <row r="99" spans="1:256" s="273" customFormat="1">
      <c r="A99" s="157" t="s">
        <v>694</v>
      </c>
      <c r="B99" s="280" t="s">
        <v>699</v>
      </c>
      <c r="C99" s="170"/>
      <c r="D99" s="169"/>
      <c r="E99" s="827"/>
      <c r="F99" s="919"/>
      <c r="G99" s="274"/>
      <c r="H99" s="275"/>
    </row>
    <row r="100" spans="1:256" s="273" customFormat="1">
      <c r="A100" s="152"/>
      <c r="B100" s="285"/>
      <c r="C100" s="151"/>
      <c r="D100" s="150"/>
      <c r="E100" s="825"/>
      <c r="F100" s="918"/>
      <c r="G100" s="274"/>
      <c r="H100" s="275"/>
    </row>
    <row r="101" spans="1:256" s="273" customFormat="1" ht="51">
      <c r="A101" s="152" t="s">
        <v>698</v>
      </c>
      <c r="B101" s="285" t="s">
        <v>1023</v>
      </c>
      <c r="C101" s="151"/>
      <c r="D101" s="150"/>
      <c r="E101" s="825"/>
      <c r="F101" s="918"/>
      <c r="G101" s="274"/>
      <c r="H101" s="275"/>
    </row>
    <row r="102" spans="1:256" s="273" customFormat="1">
      <c r="A102" s="152"/>
      <c r="B102" s="277" t="s">
        <v>1022</v>
      </c>
      <c r="C102" s="153">
        <v>0</v>
      </c>
      <c r="D102" s="150" t="s">
        <v>100</v>
      </c>
      <c r="E102" s="829"/>
      <c r="F102" s="936">
        <f>ROUND(ROUND(C102,2)*ROUND(E102,2),2)</f>
        <v>0</v>
      </c>
      <c r="G102" s="274"/>
      <c r="H102" s="275"/>
    </row>
    <row r="103" spans="1:256" s="273" customFormat="1">
      <c r="A103" s="152"/>
      <c r="B103" s="285"/>
      <c r="C103" s="151"/>
      <c r="D103" s="150"/>
      <c r="E103" s="825"/>
      <c r="F103" s="918"/>
      <c r="G103" s="274"/>
      <c r="H103" s="275"/>
    </row>
    <row r="104" spans="1:256" s="273" customFormat="1">
      <c r="A104" s="157" t="s">
        <v>694</v>
      </c>
      <c r="B104" s="280" t="s">
        <v>693</v>
      </c>
      <c r="C104" s="170"/>
      <c r="D104" s="169"/>
      <c r="E104" s="827"/>
      <c r="F104" s="937">
        <f>SUM(F100:F102)</f>
        <v>0</v>
      </c>
      <c r="G104" s="274"/>
      <c r="H104" s="275"/>
    </row>
    <row r="105" spans="1:256" s="273" customFormat="1">
      <c r="A105" s="267"/>
      <c r="B105" s="160"/>
      <c r="C105" s="170"/>
      <c r="D105" s="169"/>
      <c r="E105" s="827"/>
      <c r="F105" s="919"/>
      <c r="G105" s="274"/>
      <c r="H105" s="275"/>
    </row>
    <row r="106" spans="1:256" s="143" customFormat="1">
      <c r="A106" s="267" t="s">
        <v>91</v>
      </c>
      <c r="B106" s="160" t="s">
        <v>1021</v>
      </c>
      <c r="C106" s="156"/>
      <c r="D106" s="155"/>
      <c r="E106" s="826"/>
      <c r="F106" s="935">
        <f>F97+F57+F104</f>
        <v>0</v>
      </c>
      <c r="G106" s="153"/>
    </row>
    <row r="107" spans="1:256" s="143" customFormat="1">
      <c r="A107" s="267"/>
      <c r="B107" s="160"/>
      <c r="C107" s="156"/>
      <c r="D107" s="155"/>
      <c r="E107" s="826"/>
      <c r="F107" s="933"/>
      <c r="G107" s="153"/>
    </row>
    <row r="108" spans="1:256" s="143" customFormat="1">
      <c r="A108" s="267" t="s">
        <v>96</v>
      </c>
      <c r="B108" s="160" t="s">
        <v>248</v>
      </c>
      <c r="C108" s="156"/>
      <c r="D108" s="155"/>
      <c r="E108" s="826"/>
      <c r="F108" s="933"/>
      <c r="IU108" s="132"/>
      <c r="IV108" s="132"/>
    </row>
    <row r="109" spans="1:256" s="143" customFormat="1">
      <c r="A109" s="284"/>
      <c r="B109" s="268"/>
      <c r="C109" s="151"/>
      <c r="D109" s="150"/>
      <c r="E109" s="825"/>
      <c r="F109" s="918"/>
      <c r="IU109" s="132"/>
      <c r="IV109" s="132"/>
    </row>
    <row r="110" spans="1:256" s="143" customFormat="1" ht="51">
      <c r="A110" s="270" t="s">
        <v>1020</v>
      </c>
      <c r="B110" s="268" t="s">
        <v>1019</v>
      </c>
      <c r="C110" s="151"/>
      <c r="D110" s="150"/>
      <c r="E110" s="825"/>
      <c r="F110" s="918"/>
      <c r="IU110" s="132"/>
      <c r="IV110" s="132"/>
    </row>
    <row r="111" spans="1:256" s="143" customFormat="1">
      <c r="A111" s="284"/>
      <c r="B111" s="268"/>
      <c r="C111" s="153">
        <v>60</v>
      </c>
      <c r="D111" s="150" t="s">
        <v>100</v>
      </c>
      <c r="E111" s="828"/>
      <c r="F111" s="934">
        <f>ROUND(ROUND(C111,2)*ROUND(E111,2),2)</f>
        <v>0</v>
      </c>
      <c r="IU111" s="132"/>
      <c r="IV111" s="132"/>
    </row>
    <row r="112" spans="1:256" s="143" customFormat="1">
      <c r="A112" s="284"/>
      <c r="B112" s="268"/>
      <c r="C112" s="153"/>
      <c r="D112" s="150"/>
      <c r="E112" s="825"/>
      <c r="F112" s="934"/>
      <c r="IU112" s="132"/>
      <c r="IV112" s="132"/>
    </row>
    <row r="113" spans="1:256" s="143" customFormat="1" ht="38.25">
      <c r="A113" s="270" t="s">
        <v>1018</v>
      </c>
      <c r="B113" s="268" t="s">
        <v>1017</v>
      </c>
      <c r="C113" s="153"/>
      <c r="D113" s="150"/>
      <c r="E113" s="825"/>
      <c r="F113" s="934"/>
      <c r="IU113" s="132"/>
      <c r="IV113" s="132"/>
    </row>
    <row r="114" spans="1:256" s="143" customFormat="1">
      <c r="A114" s="284"/>
      <c r="B114" s="268"/>
      <c r="C114" s="153">
        <v>60</v>
      </c>
      <c r="D114" s="150" t="s">
        <v>100</v>
      </c>
      <c r="E114" s="828"/>
      <c r="F114" s="934">
        <f t="shared" ref="F114:F123" si="3">ROUND(ROUND(C114,2)*ROUND(E114,2),2)</f>
        <v>0</v>
      </c>
      <c r="IU114" s="132"/>
      <c r="IV114" s="132"/>
    </row>
    <row r="115" spans="1:256" s="143" customFormat="1">
      <c r="A115" s="284"/>
      <c r="B115" s="268"/>
      <c r="C115" s="153"/>
      <c r="D115" s="150"/>
      <c r="E115" s="825"/>
      <c r="F115" s="934"/>
      <c r="IU115" s="132"/>
      <c r="IV115" s="132"/>
    </row>
    <row r="116" spans="1:256" s="143" customFormat="1" ht="38.25">
      <c r="A116" s="270" t="s">
        <v>1016</v>
      </c>
      <c r="B116" s="268" t="s">
        <v>1015</v>
      </c>
      <c r="C116" s="153"/>
      <c r="D116" s="150"/>
      <c r="E116" s="825"/>
      <c r="F116" s="934"/>
      <c r="IU116" s="132"/>
      <c r="IV116" s="132"/>
    </row>
    <row r="117" spans="1:256" s="143" customFormat="1">
      <c r="A117" s="284"/>
      <c r="B117" s="268" t="s">
        <v>1014</v>
      </c>
      <c r="C117" s="153">
        <v>4</v>
      </c>
      <c r="D117" s="150" t="s">
        <v>113</v>
      </c>
      <c r="E117" s="828"/>
      <c r="F117" s="934">
        <f t="shared" si="3"/>
        <v>0</v>
      </c>
      <c r="IU117" s="132"/>
      <c r="IV117" s="132"/>
    </row>
    <row r="118" spans="1:256" s="143" customFormat="1">
      <c r="A118" s="284"/>
      <c r="B118" s="268"/>
      <c r="C118" s="153"/>
      <c r="D118" s="150"/>
      <c r="E118" s="825"/>
      <c r="F118" s="934"/>
      <c r="IU118" s="132"/>
      <c r="IV118" s="132"/>
    </row>
    <row r="119" spans="1:256" s="143" customFormat="1" ht="102">
      <c r="A119" s="270" t="s">
        <v>1013</v>
      </c>
      <c r="B119" s="268" t="s">
        <v>1012</v>
      </c>
      <c r="C119" s="153"/>
      <c r="D119" s="150"/>
      <c r="E119" s="825"/>
      <c r="F119" s="934"/>
      <c r="IU119" s="132"/>
      <c r="IV119" s="132"/>
    </row>
    <row r="120" spans="1:256" s="143" customFormat="1">
      <c r="A120" s="284"/>
      <c r="B120" s="268"/>
      <c r="C120" s="153">
        <v>0</v>
      </c>
      <c r="D120" s="150" t="s">
        <v>113</v>
      </c>
      <c r="E120" s="828"/>
      <c r="F120" s="934">
        <f t="shared" si="3"/>
        <v>0</v>
      </c>
      <c r="IU120" s="132"/>
      <c r="IV120" s="132"/>
    </row>
    <row r="121" spans="1:256" s="143" customFormat="1">
      <c r="A121" s="284"/>
      <c r="B121" s="268"/>
      <c r="C121" s="151"/>
      <c r="D121" s="150"/>
      <c r="E121" s="825"/>
      <c r="F121" s="934"/>
      <c r="IU121" s="132"/>
      <c r="IV121" s="132"/>
    </row>
    <row r="122" spans="1:256" s="143" customFormat="1" ht="114.75">
      <c r="A122" s="270" t="s">
        <v>1011</v>
      </c>
      <c r="B122" s="268" t="s">
        <v>1010</v>
      </c>
      <c r="C122" s="151"/>
      <c r="D122" s="150"/>
      <c r="E122" s="825"/>
      <c r="F122" s="934"/>
      <c r="IU122" s="132"/>
      <c r="IV122" s="132"/>
    </row>
    <row r="123" spans="1:256" s="143" customFormat="1">
      <c r="A123" s="284"/>
      <c r="B123" s="268"/>
      <c r="C123" s="153">
        <v>0</v>
      </c>
      <c r="D123" s="150" t="s">
        <v>108</v>
      </c>
      <c r="E123" s="828"/>
      <c r="F123" s="934">
        <f t="shared" si="3"/>
        <v>0</v>
      </c>
      <c r="IU123" s="132"/>
      <c r="IV123" s="132"/>
    </row>
    <row r="124" spans="1:256" s="143" customFormat="1">
      <c r="A124" s="283"/>
      <c r="B124" s="116"/>
      <c r="C124" s="282"/>
      <c r="D124" s="281"/>
      <c r="E124" s="831"/>
      <c r="F124" s="938"/>
      <c r="IU124" s="132"/>
      <c r="IV124" s="132"/>
    </row>
    <row r="125" spans="1:256" s="143" customFormat="1">
      <c r="A125" s="267" t="s">
        <v>96</v>
      </c>
      <c r="B125" s="280" t="s">
        <v>1009</v>
      </c>
      <c r="C125" s="156"/>
      <c r="D125" s="155"/>
      <c r="E125" s="826"/>
      <c r="F125" s="935">
        <f>SUM(F109:F124)</f>
        <v>0</v>
      </c>
      <c r="IU125" s="132"/>
      <c r="IV125" s="132"/>
    </row>
    <row r="126" spans="1:256" s="143" customFormat="1">
      <c r="A126" s="267"/>
      <c r="B126" s="160"/>
      <c r="C126" s="156"/>
      <c r="D126" s="155"/>
      <c r="E126" s="826"/>
      <c r="F126" s="933"/>
      <c r="G126" s="153"/>
    </row>
    <row r="127" spans="1:256" s="143" customFormat="1">
      <c r="A127" s="267" t="s">
        <v>101</v>
      </c>
      <c r="B127" s="160" t="s">
        <v>963</v>
      </c>
      <c r="C127" s="156"/>
      <c r="D127" s="155"/>
      <c r="E127" s="826"/>
      <c r="F127" s="933"/>
      <c r="G127" s="274"/>
    </row>
    <row r="128" spans="1:256" s="273" customFormat="1">
      <c r="A128" s="269"/>
      <c r="B128" s="268"/>
      <c r="C128" s="151"/>
      <c r="D128" s="150"/>
      <c r="E128" s="825"/>
      <c r="F128" s="918"/>
      <c r="G128" s="274"/>
      <c r="H128" s="274"/>
    </row>
    <row r="129" spans="1:8" s="273" customFormat="1" ht="63.75">
      <c r="A129" s="270"/>
      <c r="B129" s="268" t="s">
        <v>1008</v>
      </c>
      <c r="C129" s="151"/>
      <c r="D129" s="150"/>
      <c r="E129" s="825"/>
      <c r="F129" s="918"/>
      <c r="G129" s="274"/>
      <c r="H129" s="274"/>
    </row>
    <row r="130" spans="1:8" s="273" customFormat="1">
      <c r="A130" s="270" t="s">
        <v>628</v>
      </c>
      <c r="B130" s="268" t="s">
        <v>1007</v>
      </c>
      <c r="C130" s="153">
        <v>8.76</v>
      </c>
      <c r="D130" s="150" t="s">
        <v>108</v>
      </c>
      <c r="E130" s="828"/>
      <c r="F130" s="934">
        <f>ROUND(ROUND(C130,2)*ROUND(E130,2),2)</f>
        <v>0</v>
      </c>
      <c r="G130" s="274"/>
      <c r="H130" s="274"/>
    </row>
    <row r="131" spans="1:8" s="273" customFormat="1">
      <c r="A131" s="270" t="s">
        <v>626</v>
      </c>
      <c r="B131" s="268" t="s">
        <v>1006</v>
      </c>
      <c r="C131" s="153">
        <v>7.5</v>
      </c>
      <c r="D131" s="150" t="s">
        <v>108</v>
      </c>
      <c r="E131" s="828"/>
      <c r="F131" s="934">
        <f t="shared" ref="F131:F176" si="4">ROUND(ROUND(C131,2)*ROUND(E131,2),2)</f>
        <v>0</v>
      </c>
      <c r="G131" s="274"/>
      <c r="H131" s="274"/>
    </row>
    <row r="132" spans="1:8" s="273" customFormat="1">
      <c r="A132" s="270" t="s">
        <v>1005</v>
      </c>
      <c r="B132" s="268" t="s">
        <v>1004</v>
      </c>
      <c r="C132" s="153">
        <v>16.399999999999999</v>
      </c>
      <c r="D132" s="150" t="s">
        <v>108</v>
      </c>
      <c r="E132" s="828"/>
      <c r="F132" s="934">
        <f t="shared" si="4"/>
        <v>0</v>
      </c>
      <c r="G132" s="274"/>
      <c r="H132" s="274"/>
    </row>
    <row r="133" spans="1:8" s="273" customFormat="1">
      <c r="A133" s="270" t="s">
        <v>1003</v>
      </c>
      <c r="B133" s="268" t="s">
        <v>1002</v>
      </c>
      <c r="C133" s="153">
        <f>36.06-C134</f>
        <v>5.6900000000000013</v>
      </c>
      <c r="D133" s="150" t="s">
        <v>108</v>
      </c>
      <c r="E133" s="828"/>
      <c r="F133" s="934">
        <f t="shared" si="4"/>
        <v>0</v>
      </c>
      <c r="G133" s="274"/>
      <c r="H133" s="274"/>
    </row>
    <row r="134" spans="1:8" s="273" customFormat="1">
      <c r="A134" s="270" t="s">
        <v>1001</v>
      </c>
      <c r="B134" s="268" t="s">
        <v>1000</v>
      </c>
      <c r="C134" s="153">
        <f>28.26+2.11</f>
        <v>30.37</v>
      </c>
      <c r="D134" s="150" t="s">
        <v>108</v>
      </c>
      <c r="E134" s="828"/>
      <c r="F134" s="934">
        <f t="shared" si="4"/>
        <v>0</v>
      </c>
      <c r="G134" s="274"/>
      <c r="H134" s="274"/>
    </row>
    <row r="135" spans="1:8" s="273" customFormat="1">
      <c r="A135" s="270"/>
      <c r="B135" s="279"/>
      <c r="C135" s="151"/>
      <c r="D135" s="150"/>
      <c r="E135" s="825"/>
      <c r="F135" s="934"/>
      <c r="G135" s="274"/>
      <c r="H135" s="274"/>
    </row>
    <row r="136" spans="1:8" s="273" customFormat="1" ht="63.75">
      <c r="A136" s="278"/>
      <c r="B136" s="268" t="s">
        <v>999</v>
      </c>
      <c r="C136" s="151"/>
      <c r="D136" s="150"/>
      <c r="E136" s="825"/>
      <c r="F136" s="934"/>
      <c r="G136" s="274"/>
      <c r="H136" s="274"/>
    </row>
    <row r="137" spans="1:8" s="273" customFormat="1">
      <c r="A137" s="270" t="s">
        <v>998</v>
      </c>
      <c r="B137" s="268" t="s">
        <v>997</v>
      </c>
      <c r="C137" s="153">
        <v>82.82</v>
      </c>
      <c r="D137" s="150" t="s">
        <v>108</v>
      </c>
      <c r="E137" s="828"/>
      <c r="F137" s="934">
        <f t="shared" si="4"/>
        <v>0</v>
      </c>
      <c r="G137" s="274"/>
      <c r="H137" s="274"/>
    </row>
    <row r="138" spans="1:8" s="273" customFormat="1">
      <c r="A138" s="270"/>
      <c r="B138" s="268"/>
      <c r="C138" s="153"/>
      <c r="D138" s="150"/>
      <c r="E138" s="825"/>
      <c r="F138" s="934"/>
      <c r="G138" s="274"/>
      <c r="H138" s="274"/>
    </row>
    <row r="139" spans="1:8" s="273" customFormat="1" ht="63.75">
      <c r="A139" s="270" t="s">
        <v>623</v>
      </c>
      <c r="B139" s="268" t="s">
        <v>996</v>
      </c>
      <c r="C139" s="151"/>
      <c r="D139" s="150"/>
      <c r="E139" s="825"/>
      <c r="F139" s="934"/>
      <c r="G139" s="274"/>
      <c r="H139" s="274"/>
    </row>
    <row r="140" spans="1:8" s="273" customFormat="1">
      <c r="A140" s="269"/>
      <c r="B140" s="268"/>
      <c r="C140" s="153">
        <v>2</v>
      </c>
      <c r="D140" s="150" t="s">
        <v>113</v>
      </c>
      <c r="E140" s="828"/>
      <c r="F140" s="934">
        <f t="shared" si="4"/>
        <v>0</v>
      </c>
      <c r="G140" s="274"/>
      <c r="H140" s="274"/>
    </row>
    <row r="141" spans="1:8" s="273" customFormat="1">
      <c r="A141" s="270"/>
      <c r="B141" s="268"/>
      <c r="C141" s="153"/>
      <c r="D141" s="150"/>
      <c r="E141" s="825"/>
      <c r="F141" s="934"/>
      <c r="G141" s="274"/>
      <c r="H141" s="274"/>
    </row>
    <row r="142" spans="1:8" s="273" customFormat="1" ht="63.75">
      <c r="A142" s="270" t="s">
        <v>621</v>
      </c>
      <c r="B142" s="268" t="s">
        <v>995</v>
      </c>
      <c r="C142" s="151"/>
      <c r="D142" s="150"/>
      <c r="E142" s="825"/>
      <c r="F142" s="934"/>
      <c r="G142" s="274"/>
      <c r="H142" s="274"/>
    </row>
    <row r="143" spans="1:8" s="273" customFormat="1">
      <c r="A143" s="269"/>
      <c r="B143" s="268"/>
      <c r="C143" s="153">
        <v>1</v>
      </c>
      <c r="D143" s="150" t="s">
        <v>113</v>
      </c>
      <c r="E143" s="828"/>
      <c r="F143" s="934">
        <f t="shared" si="4"/>
        <v>0</v>
      </c>
      <c r="G143" s="274"/>
      <c r="H143" s="274"/>
    </row>
    <row r="144" spans="1:8" s="273" customFormat="1">
      <c r="A144" s="270"/>
      <c r="B144" s="268"/>
      <c r="C144" s="153"/>
      <c r="D144" s="150"/>
      <c r="E144" s="825"/>
      <c r="F144" s="934"/>
      <c r="G144" s="274"/>
      <c r="H144" s="274"/>
    </row>
    <row r="145" spans="1:8" s="273" customFormat="1" ht="114.75">
      <c r="A145" s="270" t="s">
        <v>994</v>
      </c>
      <c r="B145" s="268" t="s">
        <v>993</v>
      </c>
      <c r="C145" s="151"/>
      <c r="D145" s="150"/>
      <c r="E145" s="825"/>
      <c r="F145" s="934"/>
      <c r="G145" s="274"/>
      <c r="H145" s="274"/>
    </row>
    <row r="146" spans="1:8" s="273" customFormat="1">
      <c r="A146" s="269"/>
      <c r="B146" s="268"/>
      <c r="C146" s="153">
        <v>4</v>
      </c>
      <c r="D146" s="150" t="s">
        <v>113</v>
      </c>
      <c r="E146" s="828"/>
      <c r="F146" s="934">
        <f t="shared" si="4"/>
        <v>0</v>
      </c>
      <c r="G146" s="274"/>
      <c r="H146" s="274"/>
    </row>
    <row r="147" spans="1:8" s="273" customFormat="1">
      <c r="A147" s="270"/>
      <c r="B147" s="268"/>
      <c r="C147" s="153"/>
      <c r="D147" s="150"/>
      <c r="E147" s="825"/>
      <c r="F147" s="934"/>
      <c r="G147" s="274"/>
      <c r="H147" s="274"/>
    </row>
    <row r="148" spans="1:8" s="273" customFormat="1" ht="76.5">
      <c r="A148" s="270" t="s">
        <v>992</v>
      </c>
      <c r="B148" s="268" t="s">
        <v>991</v>
      </c>
      <c r="C148" s="151"/>
      <c r="D148" s="150"/>
      <c r="E148" s="825"/>
      <c r="F148" s="934"/>
      <c r="G148" s="274"/>
      <c r="H148" s="274"/>
    </row>
    <row r="149" spans="1:8" s="273" customFormat="1">
      <c r="A149" s="269"/>
      <c r="B149" s="268"/>
      <c r="C149" s="153">
        <v>255</v>
      </c>
      <c r="D149" s="150" t="s">
        <v>113</v>
      </c>
      <c r="E149" s="828"/>
      <c r="F149" s="934">
        <f t="shared" si="4"/>
        <v>0</v>
      </c>
      <c r="G149" s="274"/>
      <c r="H149" s="274"/>
    </row>
    <row r="150" spans="1:8" s="273" customFormat="1">
      <c r="A150" s="154"/>
      <c r="B150" s="268"/>
      <c r="C150" s="151"/>
      <c r="D150" s="150"/>
      <c r="E150" s="825"/>
      <c r="F150" s="934"/>
      <c r="G150" s="274"/>
      <c r="H150" s="275"/>
    </row>
    <row r="151" spans="1:8" s="273" customFormat="1" ht="63.75">
      <c r="A151" s="270" t="s">
        <v>990</v>
      </c>
      <c r="B151" s="268" t="s">
        <v>989</v>
      </c>
      <c r="C151" s="151"/>
      <c r="D151" s="150"/>
      <c r="E151" s="832"/>
      <c r="F151" s="934"/>
      <c r="G151" s="274"/>
      <c r="H151" s="275"/>
    </row>
    <row r="152" spans="1:8" s="273" customFormat="1">
      <c r="A152" s="154"/>
      <c r="B152" s="268"/>
      <c r="C152" s="153">
        <v>9</v>
      </c>
      <c r="D152" s="150" t="s">
        <v>113</v>
      </c>
      <c r="E152" s="828"/>
      <c r="F152" s="934">
        <f t="shared" si="4"/>
        <v>0</v>
      </c>
      <c r="G152" s="274"/>
      <c r="H152" s="275"/>
    </row>
    <row r="153" spans="1:8" s="273" customFormat="1">
      <c r="A153" s="154"/>
      <c r="B153" s="268"/>
      <c r="C153" s="151"/>
      <c r="D153" s="150"/>
      <c r="E153" s="825"/>
      <c r="F153" s="934"/>
      <c r="G153" s="274"/>
      <c r="H153" s="275"/>
    </row>
    <row r="154" spans="1:8" s="273" customFormat="1" ht="63.75">
      <c r="A154" s="270" t="s">
        <v>988</v>
      </c>
      <c r="B154" s="268" t="s">
        <v>987</v>
      </c>
      <c r="C154" s="151"/>
      <c r="D154" s="150"/>
      <c r="E154" s="832"/>
      <c r="F154" s="934"/>
      <c r="G154" s="274"/>
      <c r="H154" s="275"/>
    </row>
    <row r="155" spans="1:8" s="273" customFormat="1">
      <c r="A155" s="154"/>
      <c r="B155" s="277"/>
      <c r="C155" s="153">
        <v>1</v>
      </c>
      <c r="D155" s="150" t="s">
        <v>113</v>
      </c>
      <c r="E155" s="828"/>
      <c r="F155" s="934">
        <f t="shared" si="4"/>
        <v>0</v>
      </c>
      <c r="G155" s="274"/>
      <c r="H155" s="275"/>
    </row>
    <row r="156" spans="1:8" s="273" customFormat="1">
      <c r="A156" s="154"/>
      <c r="B156" s="268"/>
      <c r="C156" s="151"/>
      <c r="D156" s="150"/>
      <c r="E156" s="825"/>
      <c r="F156" s="934"/>
      <c r="G156" s="274"/>
      <c r="H156" s="275"/>
    </row>
    <row r="157" spans="1:8" s="273" customFormat="1" ht="76.5">
      <c r="A157" s="270" t="s">
        <v>986</v>
      </c>
      <c r="B157" s="268" t="s">
        <v>985</v>
      </c>
      <c r="C157" s="151"/>
      <c r="D157" s="150"/>
      <c r="E157" s="832"/>
      <c r="F157" s="934"/>
      <c r="G157" s="274"/>
      <c r="H157" s="275"/>
    </row>
    <row r="158" spans="1:8" s="273" customFormat="1">
      <c r="A158" s="154"/>
      <c r="B158" s="277"/>
      <c r="C158" s="153">
        <v>1</v>
      </c>
      <c r="D158" s="150" t="s">
        <v>113</v>
      </c>
      <c r="E158" s="828"/>
      <c r="F158" s="934">
        <f t="shared" si="4"/>
        <v>0</v>
      </c>
      <c r="G158" s="274"/>
      <c r="H158" s="275"/>
    </row>
    <row r="159" spans="1:8" s="273" customFormat="1">
      <c r="A159" s="154"/>
      <c r="B159" s="268"/>
      <c r="C159" s="151"/>
      <c r="D159" s="150"/>
      <c r="E159" s="825"/>
      <c r="F159" s="934"/>
      <c r="G159" s="274"/>
      <c r="H159" s="275"/>
    </row>
    <row r="160" spans="1:8" s="273" customFormat="1" ht="63.75">
      <c r="A160" s="270" t="s">
        <v>984</v>
      </c>
      <c r="B160" s="268" t="s">
        <v>983</v>
      </c>
      <c r="C160" s="151"/>
      <c r="D160" s="150"/>
      <c r="E160" s="832"/>
      <c r="F160" s="934"/>
      <c r="G160" s="274"/>
      <c r="H160" s="275"/>
    </row>
    <row r="161" spans="1:8" s="273" customFormat="1">
      <c r="A161" s="154"/>
      <c r="B161" s="277"/>
      <c r="C161" s="153">
        <v>9</v>
      </c>
      <c r="D161" s="150" t="s">
        <v>113</v>
      </c>
      <c r="E161" s="828"/>
      <c r="F161" s="934">
        <f t="shared" si="4"/>
        <v>0</v>
      </c>
      <c r="G161" s="274"/>
      <c r="H161" s="275"/>
    </row>
    <row r="162" spans="1:8" s="273" customFormat="1">
      <c r="A162" s="269"/>
      <c r="B162" s="268"/>
      <c r="C162" s="153"/>
      <c r="D162" s="150"/>
      <c r="E162" s="825"/>
      <c r="F162" s="934"/>
      <c r="G162" s="274"/>
      <c r="H162" s="275"/>
    </row>
    <row r="163" spans="1:8" s="273" customFormat="1" ht="76.5">
      <c r="A163" s="270" t="s">
        <v>982</v>
      </c>
      <c r="B163" s="268" t="s">
        <v>981</v>
      </c>
      <c r="C163" s="151"/>
      <c r="D163" s="150"/>
      <c r="E163" s="825"/>
      <c r="F163" s="934"/>
      <c r="G163" s="274"/>
      <c r="H163" s="275"/>
    </row>
    <row r="164" spans="1:8" s="273" customFormat="1">
      <c r="A164" s="269"/>
      <c r="B164" s="268"/>
      <c r="C164" s="153">
        <v>2</v>
      </c>
      <c r="D164" s="150" t="s">
        <v>108</v>
      </c>
      <c r="E164" s="828"/>
      <c r="F164" s="934">
        <f t="shared" si="4"/>
        <v>0</v>
      </c>
      <c r="G164" s="274"/>
      <c r="H164" s="275"/>
    </row>
    <row r="165" spans="1:8" s="273" customFormat="1">
      <c r="A165" s="269"/>
      <c r="B165" s="268"/>
      <c r="C165" s="153"/>
      <c r="D165" s="150"/>
      <c r="E165" s="825"/>
      <c r="F165" s="934"/>
      <c r="G165" s="274"/>
      <c r="H165" s="275"/>
    </row>
    <row r="166" spans="1:8" s="273" customFormat="1" ht="89.25">
      <c r="A166" s="270" t="s">
        <v>980</v>
      </c>
      <c r="B166" s="268" t="s">
        <v>979</v>
      </c>
      <c r="C166" s="151"/>
      <c r="D166" s="150"/>
      <c r="E166" s="825"/>
      <c r="F166" s="934"/>
      <c r="G166" s="274"/>
      <c r="H166" s="275"/>
    </row>
    <row r="167" spans="1:8" s="273" customFormat="1">
      <c r="A167" s="269"/>
      <c r="B167" s="268"/>
      <c r="C167" s="153">
        <v>22.7</v>
      </c>
      <c r="D167" s="150" t="s">
        <v>108</v>
      </c>
      <c r="E167" s="828"/>
      <c r="F167" s="934">
        <f t="shared" si="4"/>
        <v>0</v>
      </c>
      <c r="G167" s="274"/>
      <c r="H167" s="275"/>
    </row>
    <row r="168" spans="1:8" s="273" customFormat="1">
      <c r="A168" s="154"/>
      <c r="B168" s="277"/>
      <c r="C168" s="151"/>
      <c r="D168" s="150"/>
      <c r="E168" s="825"/>
      <c r="F168" s="934"/>
      <c r="G168" s="274"/>
      <c r="H168" s="275"/>
    </row>
    <row r="169" spans="1:8" s="273" customFormat="1" ht="51">
      <c r="A169" s="270" t="s">
        <v>619</v>
      </c>
      <c r="B169" s="268" t="s">
        <v>978</v>
      </c>
      <c r="C169" s="151"/>
      <c r="D169" s="150"/>
      <c r="E169" s="833"/>
      <c r="F169" s="934"/>
      <c r="G169" s="274"/>
      <c r="H169" s="275"/>
    </row>
    <row r="170" spans="1:8" s="273" customFormat="1">
      <c r="A170" s="152"/>
      <c r="B170" s="268"/>
      <c r="C170" s="153">
        <v>49</v>
      </c>
      <c r="D170" s="150" t="s">
        <v>100</v>
      </c>
      <c r="E170" s="828"/>
      <c r="F170" s="934">
        <f t="shared" si="4"/>
        <v>0</v>
      </c>
      <c r="G170" s="274"/>
      <c r="H170" s="275"/>
    </row>
    <row r="171" spans="1:8" s="273" customFormat="1">
      <c r="A171" s="276"/>
      <c r="B171" s="268"/>
      <c r="C171" s="151"/>
      <c r="D171" s="150"/>
      <c r="E171" s="825"/>
      <c r="F171" s="934"/>
      <c r="G171" s="274"/>
      <c r="H171" s="275"/>
    </row>
    <row r="172" spans="1:8" s="273" customFormat="1" ht="63.75">
      <c r="A172" s="270" t="s">
        <v>617</v>
      </c>
      <c r="B172" s="268" t="s">
        <v>977</v>
      </c>
      <c r="C172" s="151"/>
      <c r="D172" s="150"/>
      <c r="E172" s="833"/>
      <c r="F172" s="934"/>
      <c r="G172" s="274"/>
      <c r="H172" s="275"/>
    </row>
    <row r="173" spans="1:8" s="273" customFormat="1">
      <c r="A173" s="152"/>
      <c r="B173" s="268"/>
      <c r="C173" s="153">
        <v>223</v>
      </c>
      <c r="D173" s="150" t="s">
        <v>100</v>
      </c>
      <c r="E173" s="828"/>
      <c r="F173" s="934">
        <f t="shared" si="4"/>
        <v>0</v>
      </c>
      <c r="G173" s="274"/>
      <c r="H173" s="275"/>
    </row>
    <row r="174" spans="1:8" s="273" customFormat="1">
      <c r="A174" s="152"/>
      <c r="B174" s="268"/>
      <c r="C174" s="153"/>
      <c r="D174" s="150"/>
      <c r="E174" s="825"/>
      <c r="F174" s="934"/>
      <c r="G174" s="274"/>
      <c r="H174" s="275"/>
    </row>
    <row r="175" spans="1:8" s="273" customFormat="1" ht="51">
      <c r="A175" s="270" t="s">
        <v>615</v>
      </c>
      <c r="B175" s="268" t="s">
        <v>976</v>
      </c>
      <c r="C175" s="151"/>
      <c r="D175" s="150"/>
      <c r="E175" s="833"/>
      <c r="F175" s="934"/>
      <c r="G175" s="274"/>
      <c r="H175" s="275"/>
    </row>
    <row r="176" spans="1:8" s="273" customFormat="1">
      <c r="A176" s="152"/>
      <c r="B176" s="268"/>
      <c r="C176" s="153">
        <v>125</v>
      </c>
      <c r="D176" s="150" t="s">
        <v>100</v>
      </c>
      <c r="E176" s="828"/>
      <c r="F176" s="934">
        <f t="shared" si="4"/>
        <v>0</v>
      </c>
      <c r="G176" s="274"/>
      <c r="H176" s="275"/>
    </row>
    <row r="177" spans="1:8" s="273" customFormat="1">
      <c r="A177" s="269"/>
      <c r="B177" s="268"/>
      <c r="C177" s="151"/>
      <c r="D177" s="150"/>
      <c r="E177" s="825"/>
      <c r="F177" s="918"/>
      <c r="G177" s="274"/>
      <c r="H177" s="274"/>
    </row>
    <row r="178" spans="1:8" s="143" customFormat="1">
      <c r="A178" s="267" t="s">
        <v>101</v>
      </c>
      <c r="B178" s="160" t="s">
        <v>975</v>
      </c>
      <c r="C178" s="156"/>
      <c r="D178" s="155"/>
      <c r="E178" s="826"/>
      <c r="F178" s="935">
        <f>SUM(F128:F177)</f>
        <v>0</v>
      </c>
      <c r="G178" s="153"/>
    </row>
    <row r="179" spans="1:8" s="143" customFormat="1">
      <c r="A179" s="267"/>
      <c r="B179" s="160"/>
      <c r="C179" s="156"/>
      <c r="D179" s="155"/>
      <c r="E179" s="826"/>
      <c r="F179" s="919"/>
      <c r="G179" s="153"/>
    </row>
    <row r="180" spans="1:8">
      <c r="A180" s="267" t="s">
        <v>102</v>
      </c>
      <c r="B180" s="160" t="s">
        <v>250</v>
      </c>
      <c r="C180" s="156"/>
      <c r="D180" s="155"/>
      <c r="E180" s="826"/>
      <c r="F180" s="933"/>
    </row>
    <row r="181" spans="1:8">
      <c r="C181" s="272"/>
      <c r="D181" s="133"/>
    </row>
    <row r="182" spans="1:8">
      <c r="A182" s="271" t="s">
        <v>131</v>
      </c>
      <c r="B182" s="160" t="s">
        <v>353</v>
      </c>
      <c r="C182" s="272"/>
      <c r="D182" s="133"/>
    </row>
    <row r="183" spans="1:8">
      <c r="C183" s="272"/>
      <c r="D183" s="133"/>
    </row>
    <row r="184" spans="1:8">
      <c r="A184" s="270"/>
      <c r="B184" s="127"/>
      <c r="C184" s="153"/>
      <c r="D184" s="150"/>
    </row>
    <row r="185" spans="1:8">
      <c r="A185" s="270" t="s">
        <v>974</v>
      </c>
      <c r="B185" s="127" t="s">
        <v>973</v>
      </c>
      <c r="C185" s="132"/>
      <c r="D185" s="150"/>
    </row>
    <row r="186" spans="1:8">
      <c r="A186" s="270"/>
      <c r="B186" s="127"/>
      <c r="C186" s="153">
        <v>12</v>
      </c>
      <c r="D186" s="150" t="s">
        <v>121</v>
      </c>
      <c r="E186" s="828"/>
      <c r="F186" s="934">
        <f>ROUND(ROUND(C186,2)*ROUND(E186,2),2)</f>
        <v>0</v>
      </c>
    </row>
    <row r="187" spans="1:8">
      <c r="A187" s="270"/>
      <c r="B187" s="127"/>
      <c r="C187" s="153"/>
      <c r="D187" s="150"/>
      <c r="F187" s="934"/>
    </row>
    <row r="188" spans="1:8">
      <c r="A188" s="270" t="s">
        <v>385</v>
      </c>
      <c r="B188" s="127" t="s">
        <v>972</v>
      </c>
      <c r="C188" s="132"/>
      <c r="D188" s="150"/>
      <c r="F188" s="934"/>
    </row>
    <row r="189" spans="1:8">
      <c r="A189" s="270"/>
      <c r="B189" s="127"/>
      <c r="C189" s="153">
        <v>4</v>
      </c>
      <c r="D189" s="150" t="s">
        <v>121</v>
      </c>
      <c r="E189" s="828"/>
      <c r="F189" s="934">
        <f t="shared" ref="F189:F203" si="5">ROUND(ROUND(C189,2)*ROUND(E189,2),2)</f>
        <v>0</v>
      </c>
    </row>
    <row r="190" spans="1:8">
      <c r="A190" s="269"/>
      <c r="B190" s="268"/>
      <c r="C190" s="153"/>
      <c r="D190" s="150"/>
      <c r="F190" s="934"/>
    </row>
    <row r="191" spans="1:8">
      <c r="A191" s="271" t="s">
        <v>133</v>
      </c>
      <c r="B191" s="160" t="s">
        <v>971</v>
      </c>
      <c r="C191" s="153"/>
      <c r="D191" s="150"/>
      <c r="F191" s="934"/>
    </row>
    <row r="192" spans="1:8">
      <c r="A192" s="269"/>
      <c r="B192" s="268"/>
      <c r="C192" s="153"/>
      <c r="D192" s="150"/>
      <c r="F192" s="934"/>
    </row>
    <row r="193" spans="1:6" ht="25.5">
      <c r="A193" s="270" t="s">
        <v>970</v>
      </c>
      <c r="B193" s="268" t="s">
        <v>969</v>
      </c>
      <c r="C193" s="153"/>
      <c r="D193" s="150"/>
      <c r="F193" s="934"/>
    </row>
    <row r="194" spans="1:6">
      <c r="A194" s="269"/>
      <c r="B194" s="268"/>
      <c r="C194" s="153">
        <f>SUM(C140,C143,C146)</f>
        <v>7</v>
      </c>
      <c r="D194" s="150" t="s">
        <v>113</v>
      </c>
      <c r="E194" s="828"/>
      <c r="F194" s="934">
        <f t="shared" si="5"/>
        <v>0</v>
      </c>
    </row>
    <row r="195" spans="1:6">
      <c r="A195" s="269"/>
      <c r="B195" s="268"/>
      <c r="C195" s="153"/>
      <c r="D195" s="150"/>
      <c r="F195" s="934"/>
    </row>
    <row r="196" spans="1:6" ht="25.5">
      <c r="A196" s="270" t="s">
        <v>387</v>
      </c>
      <c r="B196" s="268" t="s">
        <v>968</v>
      </c>
      <c r="C196" s="153"/>
      <c r="D196" s="150"/>
      <c r="F196" s="934"/>
    </row>
    <row r="197" spans="1:6">
      <c r="A197" s="269"/>
      <c r="B197" s="268"/>
      <c r="C197" s="153">
        <f>SUM(C130:C134)</f>
        <v>68.72</v>
      </c>
      <c r="D197" s="150" t="s">
        <v>108</v>
      </c>
      <c r="E197" s="828"/>
      <c r="F197" s="934">
        <f t="shared" si="5"/>
        <v>0</v>
      </c>
    </row>
    <row r="198" spans="1:6">
      <c r="A198" s="269"/>
      <c r="B198" s="268"/>
      <c r="C198" s="153"/>
      <c r="D198" s="150"/>
      <c r="F198" s="934"/>
    </row>
    <row r="199" spans="1:6" ht="25.5">
      <c r="A199" s="270" t="s">
        <v>364</v>
      </c>
      <c r="B199" s="268" t="s">
        <v>967</v>
      </c>
      <c r="C199" s="153"/>
      <c r="D199" s="150"/>
      <c r="F199" s="934"/>
    </row>
    <row r="200" spans="1:6">
      <c r="A200" s="269"/>
      <c r="B200" s="268"/>
      <c r="C200" s="153">
        <f>C197</f>
        <v>68.72</v>
      </c>
      <c r="D200" s="150" t="s">
        <v>108</v>
      </c>
      <c r="E200" s="828"/>
      <c r="F200" s="934">
        <f t="shared" si="5"/>
        <v>0</v>
      </c>
    </row>
    <row r="201" spans="1:6">
      <c r="A201" s="269"/>
      <c r="B201" s="268"/>
      <c r="C201" s="153"/>
      <c r="D201" s="150"/>
      <c r="F201" s="934"/>
    </row>
    <row r="202" spans="1:6" ht="127.5">
      <c r="A202" s="270" t="s">
        <v>362</v>
      </c>
      <c r="B202" s="268" t="s">
        <v>966</v>
      </c>
      <c r="C202" s="153"/>
      <c r="D202" s="150"/>
      <c r="F202" s="934"/>
    </row>
    <row r="203" spans="1:6">
      <c r="A203" s="269"/>
      <c r="B203" s="268"/>
      <c r="C203" s="153">
        <f>C197</f>
        <v>68.72</v>
      </c>
      <c r="D203" s="150" t="s">
        <v>108</v>
      </c>
      <c r="E203" s="828"/>
      <c r="F203" s="934">
        <f t="shared" si="5"/>
        <v>0</v>
      </c>
    </row>
    <row r="204" spans="1:6">
      <c r="A204" s="269"/>
      <c r="B204" s="268"/>
      <c r="C204" s="153"/>
      <c r="D204" s="150"/>
    </row>
    <row r="205" spans="1:6">
      <c r="A205" s="267" t="s">
        <v>102</v>
      </c>
      <c r="B205" s="160" t="s">
        <v>965</v>
      </c>
      <c r="C205" s="143"/>
      <c r="D205" s="155"/>
      <c r="E205" s="826"/>
      <c r="F205" s="935">
        <f>SUM(F184:F204)</f>
        <v>0</v>
      </c>
    </row>
    <row r="206" spans="1:6">
      <c r="D206" s="133"/>
    </row>
    <row r="207" spans="1:6">
      <c r="D207" s="133"/>
    </row>
    <row r="208" spans="1:6">
      <c r="D208" s="133"/>
    </row>
    <row r="209" spans="4:4">
      <c r="D209" s="133"/>
    </row>
    <row r="210" spans="4:4">
      <c r="D210" s="133"/>
    </row>
    <row r="211" spans="4:4">
      <c r="D211" s="133"/>
    </row>
    <row r="212" spans="4:4">
      <c r="D212" s="133"/>
    </row>
    <row r="213" spans="4:4">
      <c r="D213" s="133"/>
    </row>
    <row r="214" spans="4:4">
      <c r="D214" s="133"/>
    </row>
    <row r="215" spans="4:4">
      <c r="D215" s="133"/>
    </row>
    <row r="216" spans="4:4">
      <c r="D216" s="133"/>
    </row>
    <row r="217" spans="4:4">
      <c r="D217" s="133"/>
    </row>
    <row r="218" spans="4:4">
      <c r="D218" s="133"/>
    </row>
    <row r="219" spans="4:4">
      <c r="D219" s="133"/>
    </row>
    <row r="220" spans="4:4">
      <c r="D220" s="133"/>
    </row>
  </sheetData>
  <sheetProtection algorithmName="SHA-512" hashValue="uAzzgftZ6DqqFI+nzHofNfI/qHddtDZ1ieC2ERhcVTwyCoPlaEOUmBg9LmV1Z+l2BjByNWz/ZwZNo6uqLLucSQ==" saltValue="XwZXrbPWc5SXVP6MKz5fDg==" spinCount="100000" sheet="1" formatCells="0" formatColumns="0" formatRows="0"/>
  <pageMargins left="1.0629921259842521" right="0.39370078740157483" top="0.94488188976377963" bottom="0.78740157480314965" header="0.35433070866141736" footer="0.51181102362204722"/>
  <pageSetup paperSize="9" scale="90" orientation="portrait" useFirstPageNumber="1" r:id="rId1"/>
  <headerFooter alignWithMargins="0">
    <oddHeader>&amp;C&amp;"Calibri,Bold"&amp;12PADAVINSKA ODPADNA KANALIZACIJA</oddHeader>
    <oddFooter>&amp;R&amp;"-,Bold"&amp;9Stran &amp;P od &amp;N</oddFooter>
  </headerFooter>
  <rowBreaks count="6" manualBreakCount="6">
    <brk id="36" max="5" man="1"/>
    <brk id="58" max="5" man="1"/>
    <brk id="83" max="5" man="1"/>
    <brk id="106" max="5" man="1"/>
    <brk id="134" max="5" man="1"/>
    <brk id="179" max="5"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C7" sqref="C7"/>
    </sheetView>
  </sheetViews>
  <sheetFormatPr defaultRowHeight="14.25"/>
  <cols>
    <col min="2" max="2" width="17" customWidth="1"/>
    <col min="3" max="3" width="49.375" style="883" customWidth="1"/>
  </cols>
  <sheetData>
    <row r="1" spans="1:3">
      <c r="A1" s="353" t="s">
        <v>242</v>
      </c>
      <c r="B1" s="354" t="s">
        <v>243</v>
      </c>
      <c r="C1" s="939" t="s">
        <v>244</v>
      </c>
    </row>
    <row r="2" spans="1:3">
      <c r="A2" s="355"/>
      <c r="B2" s="327"/>
      <c r="C2" s="896"/>
    </row>
    <row r="3" spans="1:3">
      <c r="A3" s="356" t="s">
        <v>964</v>
      </c>
      <c r="B3" s="357" t="s">
        <v>8</v>
      </c>
      <c r="C3" s="940"/>
    </row>
    <row r="4" spans="1:3">
      <c r="A4" s="105" t="s">
        <v>89</v>
      </c>
      <c r="B4" s="106" t="s">
        <v>245</v>
      </c>
      <c r="C4" s="897">
        <f>SANITARNA!F24</f>
        <v>0</v>
      </c>
    </row>
    <row r="5" spans="1:3">
      <c r="A5" s="105" t="s">
        <v>91</v>
      </c>
      <c r="B5" s="106" t="s">
        <v>12</v>
      </c>
      <c r="C5" s="897">
        <f>[3]Sanitarna!F81</f>
        <v>0</v>
      </c>
    </row>
    <row r="6" spans="1:3" ht="25.5">
      <c r="A6" s="105" t="s">
        <v>96</v>
      </c>
      <c r="B6" s="106" t="s">
        <v>248</v>
      </c>
      <c r="C6" s="897"/>
    </row>
    <row r="7" spans="1:3">
      <c r="A7" s="105" t="s">
        <v>101</v>
      </c>
      <c r="B7" s="106" t="s">
        <v>963</v>
      </c>
      <c r="C7" s="897"/>
    </row>
    <row r="8" spans="1:3">
      <c r="A8" s="358" t="s">
        <v>102</v>
      </c>
      <c r="B8" s="359" t="s">
        <v>250</v>
      </c>
      <c r="C8" s="941">
        <f>SANITARNA!F150</f>
        <v>0</v>
      </c>
    </row>
    <row r="9" spans="1:3">
      <c r="A9" s="105"/>
      <c r="B9" s="322"/>
      <c r="C9" s="896"/>
    </row>
    <row r="10" spans="1:3">
      <c r="A10" s="360"/>
      <c r="B10" s="357" t="s">
        <v>251</v>
      </c>
      <c r="C10" s="942">
        <f>SUM(C4:C9)</f>
        <v>0</v>
      </c>
    </row>
    <row r="11" spans="1:3">
      <c r="A11" s="355"/>
      <c r="B11" s="327"/>
      <c r="C11" s="896"/>
    </row>
    <row r="12" spans="1:3">
      <c r="A12" s="323"/>
      <c r="B12" s="324" t="s">
        <v>252</v>
      </c>
      <c r="C12" s="943">
        <f>C10*0.22</f>
        <v>0</v>
      </c>
    </row>
    <row r="13" spans="1:3" ht="15" thickBot="1">
      <c r="A13" s="325"/>
      <c r="B13" s="361" t="s">
        <v>251</v>
      </c>
      <c r="C13" s="944">
        <f>SUM(C10,C12)</f>
        <v>0</v>
      </c>
    </row>
    <row r="14" spans="1:3" ht="15" thickTop="1">
      <c r="A14" s="320"/>
      <c r="B14" s="321"/>
      <c r="C14" s="902"/>
    </row>
    <row r="15" spans="1:3">
      <c r="A15" s="320"/>
      <c r="B15" s="321"/>
      <c r="C15" s="902"/>
    </row>
    <row r="16" spans="1:3">
      <c r="A16" s="320"/>
      <c r="B16" s="321"/>
      <c r="C16" s="902"/>
    </row>
    <row r="17" spans="1:3">
      <c r="A17" s="320"/>
      <c r="B17" s="321"/>
      <c r="C17" s="902"/>
    </row>
    <row r="18" spans="1:3">
      <c r="A18" s="320"/>
      <c r="B18" s="321"/>
      <c r="C18" s="902"/>
    </row>
    <row r="19" spans="1:3">
      <c r="A19" s="320"/>
      <c r="B19" s="321"/>
      <c r="C19" s="902"/>
    </row>
    <row r="20" spans="1:3">
      <c r="A20" s="320"/>
      <c r="B20" s="321"/>
      <c r="C20" s="902"/>
    </row>
    <row r="21" spans="1:3">
      <c r="A21" s="320"/>
      <c r="B21" s="321"/>
      <c r="C21" s="902"/>
    </row>
  </sheetData>
  <sheetProtection algorithmName="SHA-512" hashValue="dc6IzKh3SVMNRSHqDonlmlj/cSd+f36RObg6xEh8BK9QWwndEbZDyuKyBkgCZbMsQuEuI8kxw4MNPa5rkoaGNQ==" saltValue="6wwoxcPLnKIODmO3rLHKZw==" spinCount="100000" sheet="1" formatCells="0" formatColumns="0" formatRows="0"/>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443</TotalTime>
  <Application>Microsoft Excel</Application>
  <DocSecurity>0</DocSecurity>
  <ScaleCrop>false</ScaleCrop>
  <HeadingPairs>
    <vt:vector size="4" baseType="variant">
      <vt:variant>
        <vt:lpstr>Delovni listi</vt:lpstr>
      </vt:variant>
      <vt:variant>
        <vt:i4>29</vt:i4>
      </vt:variant>
      <vt:variant>
        <vt:lpstr>Imenovani obsegi</vt:lpstr>
      </vt:variant>
      <vt:variant>
        <vt:i4>29</vt:i4>
      </vt:variant>
    </vt:vector>
  </HeadingPairs>
  <TitlesOfParts>
    <vt:vector size="58" baseType="lpstr">
      <vt:lpstr>SKUPNA_REKAPITULACIJA</vt:lpstr>
      <vt:lpstr>ARHITEKTURA_rek.</vt:lpstr>
      <vt:lpstr>ARHITEKTURA_gradbena_dela</vt:lpstr>
      <vt:lpstr>ARHITEKTURA_obrtniška_dela</vt:lpstr>
      <vt:lpstr>ZUNANJA_UREDITEV_rek.</vt:lpstr>
      <vt:lpstr>ZUNANJA UREDITEV</vt:lpstr>
      <vt:lpstr>PADAVINSKA_rek.</vt:lpstr>
      <vt:lpstr>Padavinska</vt:lpstr>
      <vt:lpstr>SANITARNA_rek.</vt:lpstr>
      <vt:lpstr>SANITARNA</vt:lpstr>
      <vt:lpstr>STROJNE_rek.</vt:lpstr>
      <vt:lpstr>OGREVANJE</vt:lpstr>
      <vt:lpstr>VODOVODNA_INSTALACIJA</vt:lpstr>
      <vt:lpstr>PREZRAČEVANJE</vt:lpstr>
      <vt:lpstr>VODOVOD_rek.</vt:lpstr>
      <vt:lpstr>VODOVOD</vt:lpstr>
      <vt:lpstr>ELEKTRO_rek.</vt:lpstr>
      <vt:lpstr>ELEKTRO_navodila</vt:lpstr>
      <vt:lpstr>ELEKTRO_GD_NN</vt:lpstr>
      <vt:lpstr>ELEKTRO_EM_NN</vt:lpstr>
      <vt:lpstr>ELEKTRO_GD_CR</vt:lpstr>
      <vt:lpstr>ELEKTRO_P_Sv</vt:lpstr>
      <vt:lpstr>ELEKTRO_P_Vod</vt:lpstr>
      <vt:lpstr>ELEKTRO_P_ES</vt:lpstr>
      <vt:lpstr>ELEKTRO_P_Video</vt:lpstr>
      <vt:lpstr>ELEKTR_P_Stre</vt:lpstr>
      <vt:lpstr>ELEKTRO_P_PPzEV</vt:lpstr>
      <vt:lpstr>ELEKTRO_Ostalo</vt:lpstr>
      <vt:lpstr>ZAŠČITA_elektro_vodov</vt:lpstr>
      <vt:lpstr>Excel_BuiltIn_Print_Titles_2_1</vt:lpstr>
      <vt:lpstr>Excel_BuiltIn_Print_Titles_2_1_1</vt:lpstr>
      <vt:lpstr>ARHITEKTURA_rek.!Področje_tiskanja</vt:lpstr>
      <vt:lpstr>ELEKTR_P_Stre!Področje_tiskanja</vt:lpstr>
      <vt:lpstr>ELEKTRO_GD_CR!Področje_tiskanja</vt:lpstr>
      <vt:lpstr>ELEKTRO_GD_NN!Področje_tiskanja</vt:lpstr>
      <vt:lpstr>ELEKTRO_navodila!Področje_tiskanja</vt:lpstr>
      <vt:lpstr>ELEKTRO_Ostalo!Področje_tiskanja</vt:lpstr>
      <vt:lpstr>ELEKTRO_P_ES!Področje_tiskanja</vt:lpstr>
      <vt:lpstr>ELEKTRO_P_Sv!Področje_tiskanja</vt:lpstr>
      <vt:lpstr>ELEKTRO_P_Video!Področje_tiskanja</vt:lpstr>
      <vt:lpstr>ELEKTRO_P_Vod!Področje_tiskanja</vt:lpstr>
      <vt:lpstr>ELEKTRO_rek.!Področje_tiskanja</vt:lpstr>
      <vt:lpstr>Padavinska!Področje_tiskanja</vt:lpstr>
      <vt:lpstr>PADAVINSKA_rek.!Področje_tiskanja</vt:lpstr>
      <vt:lpstr>'ZUNANJA UREDITEV'!Področje_tiskanja</vt:lpstr>
      <vt:lpstr>ZUNANJA_UREDITEV_rek.!Področje_tiskanja</vt:lpstr>
      <vt:lpstr>ELEKTR_P_Stre!Tiskanje_naslovov</vt:lpstr>
      <vt:lpstr>ELEKTRO_GD_CR!Tiskanje_naslovov</vt:lpstr>
      <vt:lpstr>ELEKTRO_GD_NN!Tiskanje_naslovov</vt:lpstr>
      <vt:lpstr>ELEKTRO_Ostalo!Tiskanje_naslovov</vt:lpstr>
      <vt:lpstr>ELEKTRO_P_ES!Tiskanje_naslovov</vt:lpstr>
      <vt:lpstr>ELEKTRO_P_Sv!Tiskanje_naslovov</vt:lpstr>
      <vt:lpstr>ELEKTRO_P_Video!Tiskanje_naslovov</vt:lpstr>
      <vt:lpstr>ELEKTRO_P_Vod!Tiskanje_naslovov</vt:lpstr>
      <vt:lpstr>Padavinska!Tiskanje_naslovov</vt:lpstr>
      <vt:lpstr>PADAVINSKA_rek.!Tiskanje_naslovov</vt:lpstr>
      <vt:lpstr>'ZUNANJA UREDITEV'!Tiskanje_naslovov</vt:lpstr>
      <vt:lpstr>ZUNANJA_UREDITEV_rek.!Tiskanje_naslovov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mokr</dc:creator>
  <cp:lastModifiedBy>Dejan Dragas</cp:lastModifiedBy>
  <cp:revision>8</cp:revision>
  <cp:lastPrinted>2021-06-29T10:44:45Z</cp:lastPrinted>
  <dcterms:created xsi:type="dcterms:W3CDTF">2004-02-10T12:38:31Z</dcterms:created>
  <dcterms:modified xsi:type="dcterms:W3CDTF">2021-08-05T08:47:57Z</dcterms:modified>
</cp:coreProperties>
</file>